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Petr_K.INTRANET\Documents\"/>
    </mc:Choice>
  </mc:AlternateContent>
  <xr:revisionPtr revIDLastSave="0" documentId="8_{164BEC39-F50D-41B0-B7E3-B2805B43E33F}" xr6:coauthVersionLast="47" xr6:coauthVersionMax="47" xr10:uidLastSave="{00000000-0000-0000-0000-000000000000}"/>
  <workbookProtection workbookAlgorithmName="SHA-512" workbookHashValue="JLeMvGQfa+TRQzemTETOYqe5vc6XhjJqcG86JP+yFxckNRjuHrrdZAoejItmdOcXVula8wceVOC+sMNt86uRow==" workbookSaltValue="yNBhxLCulKjsq/sfzbwD3A==" workbookSpinCount="100000" lockStructure="1"/>
  <bookViews>
    <workbookView xWindow="28680" yWindow="-120" windowWidth="29040" windowHeight="17640" xr2:uid="{00000000-000D-0000-FFFF-FFFF00000000}"/>
  </bookViews>
  <sheets>
    <sheet name="FLUXPAM 5" sheetId="8" r:id="rId1"/>
    <sheet name="Moduly" sheetId="12" r:id="rId2"/>
    <sheet name="Informace" sheetId="14" r:id="rId3"/>
  </sheets>
  <definedNames>
    <definedName name="_xlnm.Print_Area" localSheetId="0">'FLUXPAM 5'!$A$1:$O$76</definedName>
    <definedName name="_xlnm.Print_Area" localSheetId="2">Informace!$A$1:$N$76</definedName>
    <definedName name="_xlnm.Print_Area" localSheetId="1">Moduly!$A$1:$N$78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8" l="1"/>
  <c r="E5" i="14"/>
  <c r="E5" i="12"/>
  <c r="G40" i="12"/>
  <c r="L40" i="12"/>
  <c r="J40" i="12"/>
  <c r="K38" i="12"/>
  <c r="K39" i="12" s="1"/>
  <c r="J38" i="12"/>
  <c r="J39" i="12" s="1"/>
  <c r="I38" i="12"/>
  <c r="I39" i="12" s="1"/>
  <c r="H38" i="12"/>
  <c r="H39" i="12" s="1"/>
  <c r="G38" i="12"/>
  <c r="G39" i="12" s="1"/>
  <c r="F38" i="12"/>
  <c r="F39" i="12" s="1"/>
  <c r="K40" i="12" l="1"/>
  <c r="M40" i="12"/>
  <c r="I40" i="12"/>
  <c r="L38" i="12"/>
  <c r="L39" i="12" s="1"/>
  <c r="M38" i="12"/>
  <c r="M39" i="12" s="1"/>
  <c r="F40" i="12"/>
  <c r="H40" i="12"/>
  <c r="H13" i="8"/>
  <c r="H21" i="8" s="1"/>
  <c r="H23" i="8" s="1"/>
  <c r="K13" i="8" l="1"/>
  <c r="K18" i="8" s="1"/>
  <c r="K19" i="8" s="1"/>
  <c r="L13" i="8"/>
  <c r="L15" i="8" s="1"/>
  <c r="I13" i="8"/>
  <c r="I10" i="8" s="1"/>
  <c r="I11" i="8" s="1"/>
  <c r="J13" i="8"/>
  <c r="J14" i="8" s="1"/>
  <c r="J16" i="8" s="1"/>
  <c r="J24" i="8" s="1"/>
  <c r="M13" i="8"/>
  <c r="M15" i="8" s="1"/>
  <c r="E13" i="8"/>
  <c r="F13" i="8"/>
  <c r="F18" i="8" s="1"/>
  <c r="F19" i="8" s="1"/>
  <c r="N13" i="8"/>
  <c r="N14" i="8" s="1"/>
  <c r="N16" i="8" s="1"/>
  <c r="N24" i="8" s="1"/>
  <c r="G13" i="8"/>
  <c r="G14" i="8" s="1"/>
  <c r="G16" i="8" s="1"/>
  <c r="H15" i="8"/>
  <c r="H10" i="8"/>
  <c r="H11" i="8" s="1"/>
  <c r="H18" i="8"/>
  <c r="H19" i="8" s="1"/>
  <c r="I14" i="8"/>
  <c r="I16" i="8" s="1"/>
  <c r="I24" i="8" s="1"/>
  <c r="I21" i="8"/>
  <c r="I23" i="8" s="1"/>
  <c r="H14" i="8"/>
  <c r="H16" i="8" s="1"/>
  <c r="H24" i="8" s="1"/>
  <c r="L18" i="8"/>
  <c r="L19" i="8" s="1"/>
  <c r="L14" i="8"/>
  <c r="L16" i="8" s="1"/>
  <c r="L24" i="8" s="1"/>
  <c r="N20" i="8"/>
  <c r="N17" i="8"/>
  <c r="E20" i="8"/>
  <c r="F20" i="8"/>
  <c r="G20" i="8"/>
  <c r="H20" i="8"/>
  <c r="I20" i="8"/>
  <c r="J20" i="8"/>
  <c r="K20" i="8"/>
  <c r="L20" i="8"/>
  <c r="M20" i="8"/>
  <c r="E17" i="8"/>
  <c r="F17" i="8"/>
  <c r="G17" i="8"/>
  <c r="H17" i="8"/>
  <c r="I17" i="8"/>
  <c r="J17" i="8"/>
  <c r="K17" i="8"/>
  <c r="L17" i="8"/>
  <c r="M17" i="8"/>
  <c r="E9" i="8"/>
  <c r="D27" i="14" s="1"/>
  <c r="F9" i="8"/>
  <c r="E29" i="12" s="1"/>
  <c r="E45" i="12" s="1"/>
  <c r="E46" i="12" s="1"/>
  <c r="G9" i="8"/>
  <c r="F14" i="12" s="1"/>
  <c r="F65" i="12" s="1"/>
  <c r="F66" i="12" s="1"/>
  <c r="H9" i="8"/>
  <c r="G14" i="12" s="1"/>
  <c r="G21" i="12" s="1"/>
  <c r="G22" i="12" s="1"/>
  <c r="I9" i="8"/>
  <c r="H9" i="12" s="1"/>
  <c r="H10" i="12" s="1"/>
  <c r="H11" i="12" s="1"/>
  <c r="J9" i="8"/>
  <c r="I27" i="14" s="1"/>
  <c r="K9" i="8"/>
  <c r="J29" i="12" s="1"/>
  <c r="J30" i="12" s="1"/>
  <c r="J31" i="12" s="1"/>
  <c r="L9" i="8"/>
  <c r="K14" i="12" s="1"/>
  <c r="K55" i="12" s="1"/>
  <c r="K56" i="12" s="1"/>
  <c r="M9" i="8"/>
  <c r="L42" i="12" s="1"/>
  <c r="L43" i="12" s="1"/>
  <c r="L44" i="12" s="1"/>
  <c r="N9" i="8"/>
  <c r="M10" i="14" s="1"/>
  <c r="M11" i="14" s="1"/>
  <c r="M12" i="14" s="1"/>
  <c r="I34" i="14" l="1"/>
  <c r="I35" i="14" s="1"/>
  <c r="I36" i="14"/>
  <c r="I37" i="14" s="1"/>
  <c r="J10" i="8"/>
  <c r="J11" i="8" s="1"/>
  <c r="L10" i="8"/>
  <c r="L11" i="8" s="1"/>
  <c r="L21" i="8"/>
  <c r="L23" i="8" s="1"/>
  <c r="K14" i="8"/>
  <c r="K16" i="8" s="1"/>
  <c r="K24" i="8" s="1"/>
  <c r="K15" i="8"/>
  <c r="K21" i="8"/>
  <c r="K23" i="8" s="1"/>
  <c r="G18" i="8"/>
  <c r="G19" i="8" s="1"/>
  <c r="D9" i="12"/>
  <c r="D10" i="12" s="1"/>
  <c r="D11" i="12" s="1"/>
  <c r="D42" i="12"/>
  <c r="D29" i="12"/>
  <c r="D30" i="12" s="1"/>
  <c r="D31" i="12" s="1"/>
  <c r="K29" i="12"/>
  <c r="K34" i="12" s="1"/>
  <c r="K35" i="12" s="1"/>
  <c r="K42" i="12"/>
  <c r="K43" i="12" s="1"/>
  <c r="K44" i="12" s="1"/>
  <c r="K9" i="12"/>
  <c r="K12" i="12" s="1"/>
  <c r="K13" i="12" s="1"/>
  <c r="K10" i="8"/>
  <c r="K11" i="8" s="1"/>
  <c r="F10" i="8"/>
  <c r="F11" i="8" s="1"/>
  <c r="F15" i="8"/>
  <c r="E10" i="8"/>
  <c r="E11" i="8" s="1"/>
  <c r="E15" i="8"/>
  <c r="J21" i="8"/>
  <c r="J23" i="8" s="1"/>
  <c r="J18" i="8"/>
  <c r="J19" i="8" s="1"/>
  <c r="J15" i="8"/>
  <c r="M21" i="8"/>
  <c r="M23" i="8" s="1"/>
  <c r="G21" i="8"/>
  <c r="G23" i="8" s="1"/>
  <c r="G10" i="8"/>
  <c r="G11" i="8" s="1"/>
  <c r="G15" i="8"/>
  <c r="I18" i="8"/>
  <c r="I19" i="8" s="1"/>
  <c r="I15" i="8"/>
  <c r="M14" i="8"/>
  <c r="M16" i="8" s="1"/>
  <c r="M24" i="8" s="1"/>
  <c r="N21" i="8"/>
  <c r="N23" i="8" s="1"/>
  <c r="N15" i="8"/>
  <c r="G42" i="12"/>
  <c r="G43" i="12" s="1"/>
  <c r="G44" i="12" s="1"/>
  <c r="G29" i="12"/>
  <c r="G41" i="12" s="1"/>
  <c r="J22" i="8"/>
  <c r="L22" i="8"/>
  <c r="N22" i="8"/>
  <c r="K22" i="8"/>
  <c r="H22" i="8"/>
  <c r="I22" i="8"/>
  <c r="I28" i="14"/>
  <c r="I29" i="14" s="1"/>
  <c r="I30" i="14"/>
  <c r="I31" i="14" s="1"/>
  <c r="F21" i="12"/>
  <c r="F22" i="12" s="1"/>
  <c r="G63" i="12"/>
  <c r="G64" i="12" s="1"/>
  <c r="L14" i="12"/>
  <c r="L53" i="12" s="1"/>
  <c r="L54" i="12" s="1"/>
  <c r="G10" i="14"/>
  <c r="G15" i="14" s="1"/>
  <c r="G16" i="14" s="1"/>
  <c r="D34" i="12"/>
  <c r="D35" i="12" s="1"/>
  <c r="K21" i="12"/>
  <c r="K22" i="12" s="1"/>
  <c r="J45" i="12"/>
  <c r="J46" i="12" s="1"/>
  <c r="J34" i="12"/>
  <c r="J35" i="12" s="1"/>
  <c r="J41" i="12"/>
  <c r="K15" i="12"/>
  <c r="K16" i="12" s="1"/>
  <c r="K63" i="12"/>
  <c r="K64" i="12" s="1"/>
  <c r="J32" i="12"/>
  <c r="J33" i="12" s="1"/>
  <c r="G36" i="12"/>
  <c r="G37" i="12" s="1"/>
  <c r="K10" i="12"/>
  <c r="K11" i="12" s="1"/>
  <c r="K27" i="12"/>
  <c r="K28" i="12" s="1"/>
  <c r="K61" i="12"/>
  <c r="K62" i="12" s="1"/>
  <c r="E36" i="12"/>
  <c r="E37" i="12" s="1"/>
  <c r="F25" i="12"/>
  <c r="F26" i="12" s="1"/>
  <c r="F59" i="12"/>
  <c r="F60" i="12" s="1"/>
  <c r="D36" i="12"/>
  <c r="D37" i="12" s="1"/>
  <c r="D32" i="12"/>
  <c r="D33" i="12" s="1"/>
  <c r="F23" i="12"/>
  <c r="F24" i="12" s="1"/>
  <c r="F57" i="12"/>
  <c r="F58" i="12" s="1"/>
  <c r="E34" i="12"/>
  <c r="E35" i="12" s="1"/>
  <c r="K19" i="12"/>
  <c r="K20" i="12" s="1"/>
  <c r="K53" i="12"/>
  <c r="K54" i="12" s="1"/>
  <c r="E32" i="12"/>
  <c r="E33" i="12" s="1"/>
  <c r="K17" i="12"/>
  <c r="K18" i="12" s="1"/>
  <c r="K51" i="12"/>
  <c r="K52" i="12" s="1"/>
  <c r="K65" i="12"/>
  <c r="K66" i="12" s="1"/>
  <c r="E30" i="12"/>
  <c r="E31" i="12" s="1"/>
  <c r="M17" i="14"/>
  <c r="M18" i="14" s="1"/>
  <c r="M13" i="14"/>
  <c r="M14" i="14" s="1"/>
  <c r="H12" i="12"/>
  <c r="H13" i="12" s="1"/>
  <c r="F15" i="12"/>
  <c r="F16" i="12" s="1"/>
  <c r="G27" i="12"/>
  <c r="G28" i="12" s="1"/>
  <c r="G61" i="12"/>
  <c r="G62" i="12" s="1"/>
  <c r="F63" i="12"/>
  <c r="F64" i="12" s="1"/>
  <c r="G25" i="12"/>
  <c r="G26" i="12" s="1"/>
  <c r="F27" i="12"/>
  <c r="F28" i="12" s="1"/>
  <c r="G59" i="12"/>
  <c r="G60" i="12" s="1"/>
  <c r="F61" i="12"/>
  <c r="F62" i="12" s="1"/>
  <c r="G57" i="12"/>
  <c r="G58" i="12" s="1"/>
  <c r="F19" i="12"/>
  <c r="F20" i="12" s="1"/>
  <c r="G53" i="12"/>
  <c r="G54" i="12" s="1"/>
  <c r="F55" i="12"/>
  <c r="F56" i="12" s="1"/>
  <c r="G17" i="12"/>
  <c r="G18" i="12" s="1"/>
  <c r="K25" i="12"/>
  <c r="K26" i="12" s="1"/>
  <c r="G51" i="12"/>
  <c r="G52" i="12" s="1"/>
  <c r="F53" i="12"/>
  <c r="F54" i="12" s="1"/>
  <c r="K59" i="12"/>
  <c r="K60" i="12" s="1"/>
  <c r="G23" i="12"/>
  <c r="G24" i="12" s="1"/>
  <c r="L25" i="12"/>
  <c r="L26" i="12" s="1"/>
  <c r="F17" i="12"/>
  <c r="F18" i="12" s="1"/>
  <c r="K23" i="12"/>
  <c r="K24" i="12" s="1"/>
  <c r="F51" i="12"/>
  <c r="F52" i="12" s="1"/>
  <c r="K57" i="12"/>
  <c r="K58" i="12" s="1"/>
  <c r="G65" i="12"/>
  <c r="G66" i="12" s="1"/>
  <c r="K45" i="12"/>
  <c r="K46" i="12" s="1"/>
  <c r="G19" i="12"/>
  <c r="G20" i="12" s="1"/>
  <c r="G55" i="12"/>
  <c r="G56" i="12" s="1"/>
  <c r="G15" i="12"/>
  <c r="G16" i="12" s="1"/>
  <c r="M15" i="14"/>
  <c r="M16" i="14" s="1"/>
  <c r="I32" i="14"/>
  <c r="I33" i="14" s="1"/>
  <c r="M25" i="14"/>
  <c r="M26" i="14" s="1"/>
  <c r="M27" i="14"/>
  <c r="E27" i="14"/>
  <c r="J10" i="14"/>
  <c r="F27" i="14"/>
  <c r="I10" i="14"/>
  <c r="G27" i="14"/>
  <c r="H10" i="14"/>
  <c r="H27" i="14"/>
  <c r="F10" i="14"/>
  <c r="J27" i="14"/>
  <c r="E10" i="14"/>
  <c r="K27" i="14"/>
  <c r="D10" i="14"/>
  <c r="L10" i="14"/>
  <c r="L27" i="14"/>
  <c r="K10" i="14"/>
  <c r="G9" i="12"/>
  <c r="M29" i="12"/>
  <c r="M14" i="12"/>
  <c r="J14" i="12"/>
  <c r="F29" i="12"/>
  <c r="M42" i="12"/>
  <c r="M9" i="12"/>
  <c r="F42" i="12"/>
  <c r="F9" i="12"/>
  <c r="F12" i="12" s="1"/>
  <c r="F13" i="12" s="1"/>
  <c r="D14" i="12"/>
  <c r="H29" i="12"/>
  <c r="L9" i="12"/>
  <c r="I14" i="12"/>
  <c r="J9" i="12"/>
  <c r="E14" i="12"/>
  <c r="E51" i="12" s="1"/>
  <c r="E52" i="12" s="1"/>
  <c r="J42" i="12"/>
  <c r="I29" i="12"/>
  <c r="H42" i="12"/>
  <c r="H14" i="12"/>
  <c r="H21" i="12" s="1"/>
  <c r="H22" i="12" s="1"/>
  <c r="I42" i="12"/>
  <c r="E42" i="12"/>
  <c r="L29" i="12"/>
  <c r="I9" i="12"/>
  <c r="E9" i="12"/>
  <c r="F34" i="14" l="1"/>
  <c r="F35" i="14" s="1"/>
  <c r="F36" i="14"/>
  <c r="F37" i="14" s="1"/>
  <c r="M34" i="14"/>
  <c r="M35" i="14" s="1"/>
  <c r="M36" i="14"/>
  <c r="M37" i="14" s="1"/>
  <c r="J34" i="14"/>
  <c r="J35" i="14" s="1"/>
  <c r="J36" i="14"/>
  <c r="J37" i="14" s="1"/>
  <c r="H34" i="14"/>
  <c r="H35" i="14" s="1"/>
  <c r="H36" i="14"/>
  <c r="H37" i="14" s="1"/>
  <c r="K34" i="14"/>
  <c r="K35" i="14" s="1"/>
  <c r="K36" i="14"/>
  <c r="K37" i="14" s="1"/>
  <c r="L34" i="14"/>
  <c r="L35" i="14" s="1"/>
  <c r="L36" i="14"/>
  <c r="L37" i="14" s="1"/>
  <c r="G34" i="14"/>
  <c r="G35" i="14" s="1"/>
  <c r="G36" i="14"/>
  <c r="G37" i="14" s="1"/>
  <c r="K30" i="12"/>
  <c r="K31" i="12" s="1"/>
  <c r="K41" i="12"/>
  <c r="K32" i="12"/>
  <c r="K33" i="12" s="1"/>
  <c r="M22" i="8"/>
  <c r="L55" i="12"/>
  <c r="L56" i="12" s="1"/>
  <c r="L21" i="12"/>
  <c r="L22" i="12" s="1"/>
  <c r="G13" i="14"/>
  <c r="G14" i="14" s="1"/>
  <c r="G45" i="12"/>
  <c r="G46" i="12" s="1"/>
  <c r="G32" i="12"/>
  <c r="G33" i="12" s="1"/>
  <c r="G34" i="12"/>
  <c r="G35" i="12" s="1"/>
  <c r="G30" i="12"/>
  <c r="G31" i="12" s="1"/>
  <c r="G17" i="14"/>
  <c r="G18" i="14" s="1"/>
  <c r="G11" i="14"/>
  <c r="G12" i="14" s="1"/>
  <c r="J28" i="14"/>
  <c r="J29" i="14" s="1"/>
  <c r="J30" i="14"/>
  <c r="J31" i="14" s="1"/>
  <c r="K30" i="14"/>
  <c r="K31" i="14" s="1"/>
  <c r="K28" i="14"/>
  <c r="K29" i="14" s="1"/>
  <c r="F30" i="14"/>
  <c r="F31" i="14" s="1"/>
  <c r="F28" i="14"/>
  <c r="F29" i="14" s="1"/>
  <c r="G30" i="14"/>
  <c r="G31" i="14" s="1"/>
  <c r="G28" i="14"/>
  <c r="G29" i="14" s="1"/>
  <c r="L30" i="14"/>
  <c r="L31" i="14" s="1"/>
  <c r="L28" i="14"/>
  <c r="L29" i="14" s="1"/>
  <c r="H28" i="14"/>
  <c r="H29" i="14" s="1"/>
  <c r="H30" i="14"/>
  <c r="H31" i="14" s="1"/>
  <c r="M30" i="14"/>
  <c r="M31" i="14" s="1"/>
  <c r="M28" i="14"/>
  <c r="M29" i="14" s="1"/>
  <c r="M32" i="14"/>
  <c r="M33" i="14" s="1"/>
  <c r="L23" i="12"/>
  <c r="L17" i="12"/>
  <c r="L18" i="12" s="1"/>
  <c r="L63" i="12"/>
  <c r="L64" i="12" s="1"/>
  <c r="L19" i="12"/>
  <c r="L20" i="12" s="1"/>
  <c r="L65" i="12"/>
  <c r="L66" i="12" s="1"/>
  <c r="L51" i="12"/>
  <c r="L52" i="12" s="1"/>
  <c r="L27" i="12"/>
  <c r="L28" i="12" s="1"/>
  <c r="L61" i="12"/>
  <c r="L62" i="12" s="1"/>
  <c r="L57" i="12"/>
  <c r="L58" i="12" s="1"/>
  <c r="L59" i="12"/>
  <c r="L60" i="12" s="1"/>
  <c r="L15" i="12"/>
  <c r="L16" i="12" s="1"/>
  <c r="F49" i="12"/>
  <c r="F50" i="12" s="1"/>
  <c r="K49" i="12"/>
  <c r="K50" i="12" s="1"/>
  <c r="G49" i="12"/>
  <c r="G50" i="12" s="1"/>
  <c r="L45" i="12"/>
  <c r="L46" i="12" s="1"/>
  <c r="L32" i="12"/>
  <c r="L33" i="12" s="1"/>
  <c r="L34" i="12"/>
  <c r="L35" i="12" s="1"/>
  <c r="L41" i="12"/>
  <c r="L30" i="12"/>
  <c r="L31" i="12" s="1"/>
  <c r="H41" i="12"/>
  <c r="H30" i="12"/>
  <c r="H31" i="12" s="1"/>
  <c r="H32" i="12"/>
  <c r="H33" i="12" s="1"/>
  <c r="H34" i="12"/>
  <c r="H35" i="12" s="1"/>
  <c r="H36" i="12"/>
  <c r="H37" i="12" s="1"/>
  <c r="M30" i="12"/>
  <c r="M31" i="12" s="1"/>
  <c r="M32" i="12"/>
  <c r="M33" i="12" s="1"/>
  <c r="M34" i="12"/>
  <c r="M35" i="12" s="1"/>
  <c r="M41" i="12"/>
  <c r="I36" i="12"/>
  <c r="I37" i="12" s="1"/>
  <c r="I41" i="12"/>
  <c r="I30" i="12"/>
  <c r="I31" i="12" s="1"/>
  <c r="I32" i="12"/>
  <c r="I33" i="12" s="1"/>
  <c r="I34" i="12"/>
  <c r="I35" i="12" s="1"/>
  <c r="F41" i="12"/>
  <c r="F30" i="12"/>
  <c r="F31" i="12" s="1"/>
  <c r="F32" i="12"/>
  <c r="F33" i="12" s="1"/>
  <c r="F34" i="12"/>
  <c r="F35" i="12" s="1"/>
  <c r="F36" i="12"/>
  <c r="F37" i="12" s="1"/>
  <c r="H17" i="14"/>
  <c r="H18" i="14" s="1"/>
  <c r="H13" i="14"/>
  <c r="H14" i="14" s="1"/>
  <c r="I17" i="14"/>
  <c r="I18" i="14" s="1"/>
  <c r="I13" i="14"/>
  <c r="I14" i="14" s="1"/>
  <c r="D13" i="14"/>
  <c r="D14" i="14" s="1"/>
  <c r="D17" i="14"/>
  <c r="D18" i="14" s="1"/>
  <c r="L13" i="14"/>
  <c r="L14" i="14" s="1"/>
  <c r="L17" i="14"/>
  <c r="L18" i="14" s="1"/>
  <c r="F13" i="14"/>
  <c r="F14" i="14" s="1"/>
  <c r="F17" i="14"/>
  <c r="F18" i="14" s="1"/>
  <c r="E13" i="14"/>
  <c r="E14" i="14" s="1"/>
  <c r="E17" i="14"/>
  <c r="E18" i="14" s="1"/>
  <c r="K13" i="14"/>
  <c r="K14" i="14" s="1"/>
  <c r="K17" i="14"/>
  <c r="K18" i="14" s="1"/>
  <c r="J17" i="14"/>
  <c r="J18" i="14" s="1"/>
  <c r="J13" i="14"/>
  <c r="J14" i="14" s="1"/>
  <c r="I45" i="12"/>
  <c r="I46" i="12" s="1"/>
  <c r="M43" i="12"/>
  <c r="M44" i="12" s="1"/>
  <c r="M12" i="12"/>
  <c r="M13" i="12" s="1"/>
  <c r="M45" i="12"/>
  <c r="M46" i="12" s="1"/>
  <c r="M51" i="12"/>
  <c r="M52" i="12" s="1"/>
  <c r="M17" i="12"/>
  <c r="M18" i="12" s="1"/>
  <c r="M21" i="12"/>
  <c r="M22" i="12" s="1"/>
  <c r="M59" i="12"/>
  <c r="M60" i="12" s="1"/>
  <c r="M53" i="12"/>
  <c r="M54" i="12" s="1"/>
  <c r="M23" i="12"/>
  <c r="M24" i="12" s="1"/>
  <c r="M55" i="12"/>
  <c r="M56" i="12" s="1"/>
  <c r="M19" i="12"/>
  <c r="M20" i="12" s="1"/>
  <c r="M57" i="12"/>
  <c r="M58" i="12" s="1"/>
  <c r="M27" i="12"/>
  <c r="M28" i="12" s="1"/>
  <c r="M61" i="12"/>
  <c r="M62" i="12" s="1"/>
  <c r="M63" i="12"/>
  <c r="M64" i="12" s="1"/>
  <c r="M65" i="12"/>
  <c r="M66" i="12" s="1"/>
  <c r="M25" i="12"/>
  <c r="M26" i="12" s="1"/>
  <c r="M15" i="12"/>
  <c r="M16" i="12" s="1"/>
  <c r="H43" i="12"/>
  <c r="H44" i="12" s="1"/>
  <c r="J12" i="12"/>
  <c r="J13" i="12" s="1"/>
  <c r="J10" i="12"/>
  <c r="J11" i="12" s="1"/>
  <c r="J57" i="12"/>
  <c r="J58" i="12" s="1"/>
  <c r="J23" i="12"/>
  <c r="J24" i="12" s="1"/>
  <c r="J51" i="12"/>
  <c r="J52" i="12" s="1"/>
  <c r="J17" i="12"/>
  <c r="J18" i="12" s="1"/>
  <c r="J21" i="12"/>
  <c r="J22" i="12" s="1"/>
  <c r="J59" i="12"/>
  <c r="J60" i="12" s="1"/>
  <c r="J25" i="12"/>
  <c r="J26" i="12" s="1"/>
  <c r="J61" i="12"/>
  <c r="J62" i="12" s="1"/>
  <c r="J27" i="12"/>
  <c r="J28" i="12" s="1"/>
  <c r="J63" i="12"/>
  <c r="J64" i="12" s="1"/>
  <c r="J15" i="12"/>
  <c r="J16" i="12" s="1"/>
  <c r="J53" i="12"/>
  <c r="J54" i="12" s="1"/>
  <c r="J55" i="12"/>
  <c r="J56" i="12" s="1"/>
  <c r="J19" i="12"/>
  <c r="J20" i="12" s="1"/>
  <c r="J65" i="12"/>
  <c r="J66" i="12" s="1"/>
  <c r="I43" i="12"/>
  <c r="I44" i="12" s="1"/>
  <c r="D15" i="12"/>
  <c r="D16" i="12" s="1"/>
  <c r="D19" i="12"/>
  <c r="D20" i="12" s="1"/>
  <c r="D17" i="12"/>
  <c r="D18" i="12" s="1"/>
  <c r="D21" i="12"/>
  <c r="D22" i="12" s="1"/>
  <c r="F45" i="12"/>
  <c r="F46" i="12" s="1"/>
  <c r="G10" i="12"/>
  <c r="G11" i="12" s="1"/>
  <c r="G12" i="12"/>
  <c r="G13" i="12" s="1"/>
  <c r="E17" i="12"/>
  <c r="E18" i="12" s="1"/>
  <c r="E21" i="12"/>
  <c r="E22" i="12" s="1"/>
  <c r="E59" i="12"/>
  <c r="E60" i="12" s="1"/>
  <c r="E27" i="12"/>
  <c r="E28" i="12" s="1"/>
  <c r="E53" i="12"/>
  <c r="E54" i="12" s="1"/>
  <c r="E25" i="12"/>
  <c r="E26" i="12" s="1"/>
  <c r="E55" i="12"/>
  <c r="E56" i="12" s="1"/>
  <c r="E19" i="12"/>
  <c r="E20" i="12" s="1"/>
  <c r="E57" i="12"/>
  <c r="E58" i="12" s="1"/>
  <c r="E23" i="12"/>
  <c r="E24" i="12" s="1"/>
  <c r="E15" i="12"/>
  <c r="E16" i="12" s="1"/>
  <c r="E63" i="12"/>
  <c r="E64" i="12" s="1"/>
  <c r="E65" i="12"/>
  <c r="E66" i="12" s="1"/>
  <c r="E61" i="12"/>
  <c r="E62" i="12" s="1"/>
  <c r="J43" i="12"/>
  <c r="J44" i="12" s="1"/>
  <c r="H61" i="12"/>
  <c r="H62" i="12" s="1"/>
  <c r="H27" i="12"/>
  <c r="H28" i="12" s="1"/>
  <c r="H53" i="12"/>
  <c r="H54" i="12" s="1"/>
  <c r="H55" i="12"/>
  <c r="H56" i="12" s="1"/>
  <c r="H63" i="12"/>
  <c r="H64" i="12" s="1"/>
  <c r="H15" i="12"/>
  <c r="H16" i="12" s="1"/>
  <c r="H17" i="12"/>
  <c r="H18" i="12" s="1"/>
  <c r="H65" i="12"/>
  <c r="H66" i="12" s="1"/>
  <c r="H51" i="12"/>
  <c r="H52" i="12" s="1"/>
  <c r="H19" i="12"/>
  <c r="H20" i="12" s="1"/>
  <c r="H57" i="12"/>
  <c r="H58" i="12" s="1"/>
  <c r="H23" i="12"/>
  <c r="H24" i="12" s="1"/>
  <c r="H59" i="12"/>
  <c r="H60" i="12" s="1"/>
  <c r="H25" i="12"/>
  <c r="H26" i="12" s="1"/>
  <c r="F43" i="12"/>
  <c r="F44" i="12" s="1"/>
  <c r="E43" i="12"/>
  <c r="E44" i="12" s="1"/>
  <c r="H45" i="12"/>
  <c r="H46" i="12" s="1"/>
  <c r="I12" i="12"/>
  <c r="I13" i="12" s="1"/>
  <c r="I10" i="12"/>
  <c r="I11" i="12" s="1"/>
  <c r="L12" i="12"/>
  <c r="L13" i="12" s="1"/>
  <c r="E10" i="12"/>
  <c r="E11" i="12" s="1"/>
  <c r="I59" i="12"/>
  <c r="I60" i="12" s="1"/>
  <c r="I25" i="12"/>
  <c r="I26" i="12" s="1"/>
  <c r="I51" i="12"/>
  <c r="I52" i="12" s="1"/>
  <c r="I61" i="12"/>
  <c r="I62" i="12" s="1"/>
  <c r="I27" i="12"/>
  <c r="I28" i="12" s="1"/>
  <c r="I17" i="12"/>
  <c r="I18" i="12" s="1"/>
  <c r="I63" i="12"/>
  <c r="I64" i="12" s="1"/>
  <c r="I15" i="12"/>
  <c r="I16" i="12" s="1"/>
  <c r="I65" i="12"/>
  <c r="I66" i="12" s="1"/>
  <c r="I21" i="12"/>
  <c r="I22" i="12" s="1"/>
  <c r="I53" i="12"/>
  <c r="I54" i="12" s="1"/>
  <c r="I55" i="12"/>
  <c r="I56" i="12" s="1"/>
  <c r="I19" i="12"/>
  <c r="I20" i="12" s="1"/>
  <c r="I57" i="12"/>
  <c r="I58" i="12" s="1"/>
  <c r="I23" i="12"/>
  <c r="I24" i="12" s="1"/>
  <c r="F10" i="12"/>
  <c r="F11" i="12" s="1"/>
  <c r="L11" i="14"/>
  <c r="L12" i="14" s="1"/>
  <c r="L15" i="14"/>
  <c r="L16" i="14" s="1"/>
  <c r="H32" i="14"/>
  <c r="H33" i="14" s="1"/>
  <c r="L32" i="14"/>
  <c r="L33" i="14" s="1"/>
  <c r="F11" i="14"/>
  <c r="F12" i="14" s="1"/>
  <c r="F15" i="14"/>
  <c r="F16" i="14" s="1"/>
  <c r="D11" i="14"/>
  <c r="D12" i="14" s="1"/>
  <c r="D15" i="14"/>
  <c r="D16" i="14" s="1"/>
  <c r="H15" i="14"/>
  <c r="H16" i="14" s="1"/>
  <c r="H11" i="14"/>
  <c r="H12" i="14" s="1"/>
  <c r="K11" i="14"/>
  <c r="K12" i="14" s="1"/>
  <c r="K15" i="14"/>
  <c r="K16" i="14" s="1"/>
  <c r="J32" i="14"/>
  <c r="J33" i="14" s="1"/>
  <c r="E11" i="14"/>
  <c r="E12" i="14" s="1"/>
  <c r="E15" i="14"/>
  <c r="E16" i="14" s="1"/>
  <c r="J15" i="14"/>
  <c r="J16" i="14" s="1"/>
  <c r="J11" i="14"/>
  <c r="J12" i="14" s="1"/>
  <c r="K32" i="14"/>
  <c r="K33" i="14" s="1"/>
  <c r="G32" i="14"/>
  <c r="G33" i="14" s="1"/>
  <c r="F32" i="14"/>
  <c r="F33" i="14" s="1"/>
  <c r="I15" i="14"/>
  <c r="I16" i="14" s="1"/>
  <c r="I11" i="14"/>
  <c r="I12" i="14" s="1"/>
  <c r="M19" i="14"/>
  <c r="M20" i="14" s="1"/>
  <c r="M23" i="14"/>
  <c r="M24" i="14" s="1"/>
  <c r="M21" i="14"/>
  <c r="M22" i="14" s="1"/>
  <c r="L47" i="12"/>
  <c r="L48" i="12" s="1"/>
  <c r="F47" i="12"/>
  <c r="F48" i="12" s="1"/>
  <c r="K47" i="12"/>
  <c r="K48" i="12" s="1"/>
  <c r="G47" i="12"/>
  <c r="G48" i="12" s="1"/>
  <c r="L49" i="12" l="1"/>
  <c r="L50" i="12" s="1"/>
  <c r="L24" i="12"/>
  <c r="G25" i="14"/>
  <c r="G26" i="14" s="1"/>
  <c r="G19" i="14"/>
  <c r="G20" i="14" s="1"/>
  <c r="G21" i="14"/>
  <c r="G22" i="14" s="1"/>
  <c r="G23" i="14"/>
  <c r="G24" i="14" s="1"/>
  <c r="M49" i="12"/>
  <c r="M50" i="12" s="1"/>
  <c r="E49" i="12"/>
  <c r="E50" i="12" s="1"/>
  <c r="J49" i="12"/>
  <c r="J50" i="12" s="1"/>
  <c r="J47" i="12"/>
  <c r="J48" i="12" s="1"/>
  <c r="I49" i="12"/>
  <c r="I50" i="12" s="1"/>
  <c r="H49" i="12"/>
  <c r="H50" i="12" s="1"/>
  <c r="L23" i="14"/>
  <c r="L24" i="14" s="1"/>
  <c r="L25" i="14"/>
  <c r="L26" i="14" s="1"/>
  <c r="L21" i="14"/>
  <c r="L22" i="14" s="1"/>
  <c r="L19" i="14"/>
  <c r="L20" i="14" s="1"/>
  <c r="I25" i="14"/>
  <c r="I26" i="14" s="1"/>
  <c r="I23" i="14"/>
  <c r="I24" i="14" s="1"/>
  <c r="I21" i="14"/>
  <c r="I22" i="14" s="1"/>
  <c r="I19" i="14"/>
  <c r="I20" i="14" s="1"/>
  <c r="H23" i="14"/>
  <c r="H24" i="14" s="1"/>
  <c r="H25" i="14"/>
  <c r="H26" i="14" s="1"/>
  <c r="H19" i="14"/>
  <c r="H20" i="14" s="1"/>
  <c r="H21" i="14"/>
  <c r="H22" i="14" s="1"/>
  <c r="J25" i="14"/>
  <c r="J26" i="14" s="1"/>
  <c r="J19" i="14"/>
  <c r="J20" i="14" s="1"/>
  <c r="J23" i="14"/>
  <c r="J24" i="14" s="1"/>
  <c r="J21" i="14"/>
  <c r="J22" i="14" s="1"/>
  <c r="F25" i="14"/>
  <c r="F26" i="14" s="1"/>
  <c r="F19" i="14"/>
  <c r="F20" i="14" s="1"/>
  <c r="F23" i="14"/>
  <c r="F24" i="14" s="1"/>
  <c r="F21" i="14"/>
  <c r="F22" i="14" s="1"/>
  <c r="K19" i="14"/>
  <c r="K20" i="14" s="1"/>
  <c r="K23" i="14"/>
  <c r="K24" i="14" s="1"/>
  <c r="K25" i="14"/>
  <c r="K26" i="14" s="1"/>
  <c r="K21" i="14"/>
  <c r="K22" i="14" s="1"/>
  <c r="M47" i="12"/>
  <c r="M48" i="12" s="1"/>
  <c r="E47" i="12"/>
  <c r="E48" i="12" s="1"/>
  <c r="I47" i="12"/>
  <c r="I48" i="12" s="1"/>
  <c r="H47" i="12"/>
  <c r="H48" i="12" s="1"/>
</calcChain>
</file>

<file path=xl/sharedStrings.xml><?xml version="1.0" encoding="utf-8"?>
<sst xmlns="http://schemas.openxmlformats.org/spreadsheetml/2006/main" count="203" uniqueCount="177">
  <si>
    <t>Počet osobních čísel</t>
  </si>
  <si>
    <t>údržba</t>
  </si>
  <si>
    <t>Cena</t>
  </si>
  <si>
    <t>Docházka</t>
  </si>
  <si>
    <t>Snímač</t>
  </si>
  <si>
    <t>Výčetka</t>
  </si>
  <si>
    <t>Stravenky</t>
  </si>
  <si>
    <t>Nástěnka</t>
  </si>
  <si>
    <t>Cestovné po Praze</t>
  </si>
  <si>
    <t>Cestovné mimo Prahu</t>
  </si>
  <si>
    <t>Ceny jsou uvedeny v Kč bez DPH</t>
  </si>
  <si>
    <t>údržba pro 6 a více stanic</t>
  </si>
  <si>
    <t>Personalistika</t>
  </si>
  <si>
    <t>Moduly výstupů</t>
  </si>
  <si>
    <t>Výstup do MS Office</t>
  </si>
  <si>
    <t>Moduly docházkové</t>
  </si>
  <si>
    <t>Univerzální import docházky</t>
  </si>
  <si>
    <t>Dokumenty</t>
  </si>
  <si>
    <t>AD modul</t>
  </si>
  <si>
    <t>Účtování mzdového účetnictví v programu FLUXPAM 5 (měsíční)</t>
  </si>
  <si>
    <t>Moduly rozšiřující</t>
  </si>
  <si>
    <t xml:space="preserve"> </t>
  </si>
  <si>
    <t>FLUXPAM 5 - monoverze</t>
  </si>
  <si>
    <t>Pracovníci v zahraničí</t>
  </si>
  <si>
    <t>Individuální turnusy</t>
  </si>
  <si>
    <t>Samostudium pedagogických pracovníků</t>
  </si>
  <si>
    <t>Výstup do KDF</t>
  </si>
  <si>
    <t>Instalace, konzultace, individuální úpravy, školení</t>
  </si>
  <si>
    <t>Platnost ceníku končí dnem zveřejnění nového ceníku</t>
  </si>
  <si>
    <t>Modul</t>
  </si>
  <si>
    <t>od 20 000  Kč</t>
  </si>
  <si>
    <t xml:space="preserve">FLUX, spol. s r. o.  </t>
  </si>
  <si>
    <t>Personalistika - monoverze</t>
  </si>
  <si>
    <t>údržba Personalistiky - monoverze</t>
  </si>
  <si>
    <t>Personalistika - síťová verze</t>
  </si>
  <si>
    <t>údržba Personalistiky - síťové verze</t>
  </si>
  <si>
    <t>údržba Docházky</t>
  </si>
  <si>
    <t>údržba Snímače</t>
  </si>
  <si>
    <t>údržba Výčetky</t>
  </si>
  <si>
    <t>údržba Nástěnky</t>
  </si>
  <si>
    <t>údržba Univerzálního importu docházky</t>
  </si>
  <si>
    <t>údržba Výstupu do MS Office</t>
  </si>
  <si>
    <t>údržba Avíza</t>
  </si>
  <si>
    <t>údržba Dokumentů</t>
  </si>
  <si>
    <t>údržba Stravenek</t>
  </si>
  <si>
    <t>údržba AD modulu</t>
  </si>
  <si>
    <t>Úkol, podíl, zakázka</t>
  </si>
  <si>
    <t>údržba Úkolu, podílu, zakázky</t>
  </si>
  <si>
    <t>Poskytované služby</t>
  </si>
  <si>
    <t>Sazby</t>
  </si>
  <si>
    <t>FLUXPAM 5 - síťová verze</t>
  </si>
  <si>
    <t>Změna platu a příplatku v průběhu měsíce</t>
  </si>
  <si>
    <t>Webové aplikace</t>
  </si>
  <si>
    <t>Softwarové požadavky pro provoz programu FLUXPAM 5</t>
  </si>
  <si>
    <t>Podporované typy databází</t>
  </si>
  <si>
    <t>MS Access - pro monoverzi</t>
  </si>
  <si>
    <t>Požadované prostředí</t>
  </si>
  <si>
    <t>ODBC nebo nativní drivery dle použité databáze</t>
  </si>
  <si>
    <t>Hardwarové požadavky pro provoz programu FLUXPAM 5</t>
  </si>
  <si>
    <t>Vzájemné aplikační požadavky</t>
  </si>
  <si>
    <t>Síťový provoz</t>
  </si>
  <si>
    <t>Ceník mzdového programu FLUXPAM 5</t>
  </si>
  <si>
    <t>Ceník modulů programu FLUXPAM 5</t>
  </si>
  <si>
    <t>Cena údržby je uváděna za období 1 roku</t>
  </si>
  <si>
    <t>Hodnocení vzdělávacích akcí</t>
  </si>
  <si>
    <t>údržba Hodnocení vzdělávacích akcí</t>
  </si>
  <si>
    <t>Prvotní převod dat do FLUXPAM 5 (etapa implementace systému FLUXPAM 5)</t>
  </si>
  <si>
    <t>Požadavky na použitý hardware</t>
  </si>
  <si>
    <t>Služby na Portálu veřejné správy</t>
  </si>
  <si>
    <t>Poznámky</t>
  </si>
  <si>
    <t xml:space="preserve">    sestav, rekapitulací a hromadných platebních příkazů.</t>
  </si>
  <si>
    <t>Sledování změn</t>
  </si>
  <si>
    <t>údržba Sledování změn</t>
  </si>
  <si>
    <t>Komplet modulů</t>
  </si>
  <si>
    <t>Vyúčtování daně vybírané srážkou podle zvláštní sazby daně</t>
  </si>
  <si>
    <t xml:space="preserve">Vyúčtování daně z příjmů ze závislé činnosti včetně všech příloh </t>
  </si>
  <si>
    <t>Výstup do Eltrans</t>
  </si>
  <si>
    <t>Výstupy do Daňového portálu</t>
  </si>
  <si>
    <t>údržba Hodnocení zaměstnanců</t>
  </si>
  <si>
    <t>FLUXPAM 5 do 5 stanic</t>
  </si>
  <si>
    <t>údržba do  5 stanic</t>
  </si>
  <si>
    <t>FLUXPAM 5 pro 6 a více stanic</t>
  </si>
  <si>
    <t>FLUXPAM 5 pro 1 stanici</t>
  </si>
  <si>
    <t>Podporované OS pro stanici/ aplikační server</t>
  </si>
  <si>
    <t>shodné s požadavky pro hladký běh aplikací, který předepisuje dodavatel OS</t>
  </si>
  <si>
    <t>pro stanici, aplikační i databázový server</t>
  </si>
  <si>
    <t>síť Ethernet s funkčním protokolem TCP/IP</t>
  </si>
  <si>
    <t>připojení k internetu min. 1 Mbit/s</t>
  </si>
  <si>
    <t>Aut. aktualizace, FLUX info, eHotline</t>
  </si>
  <si>
    <t>Vzdálená pomoc</t>
  </si>
  <si>
    <t>připojení k internetu min. 2 Mbit/s</t>
  </si>
  <si>
    <t>spuštěný FLUX servis - Flxsrv</t>
  </si>
  <si>
    <t>1) Rozhodující pro stanovení ceny multilicence je součet všech osobních čísel zpracovávaných firem.</t>
  </si>
  <si>
    <t>Generátor tisku</t>
  </si>
  <si>
    <t>údržba Generátoru tisku</t>
  </si>
  <si>
    <t>údržba do 5 stanic</t>
  </si>
  <si>
    <t xml:space="preserve">    Základní zpracování mezd obsahuje základní výpočet mezd s kalendářem, výpočet daní, sociálního a zdravotního pojištění, tisk a editaci univerzálních</t>
  </si>
  <si>
    <t>2) Zprovozněný FLUX servis - SDPam potřebují všechny moduly mimo modulů pro el. komunikaci a Univerzálního importu docházky.</t>
  </si>
  <si>
    <t xml:space="preserve">    Počtem osobních čísel pro stanovení ceny se rozumí počet aktivních osobních čísel v daném období.</t>
  </si>
  <si>
    <t>FLUXPAM 5 pro 1 počítač</t>
  </si>
  <si>
    <t>4) Komunikace s ČSSZ přes VREP -  e-RELDP - Ev.listy důchodového pojištění, e-REPOJ - Registr pojištěnců ČSSZ, e-PVPOJ - Přehled o výši pojistného ČSSZ,</t>
  </si>
  <si>
    <t>Výplatní pásky</t>
  </si>
  <si>
    <t>údržba Výplatních pásek</t>
  </si>
  <si>
    <t>Branný zákon</t>
  </si>
  <si>
    <t>údržba Branného zákonu</t>
  </si>
  <si>
    <t>Ochranné pomůcky</t>
  </si>
  <si>
    <t>údržba Ochranných pomůcek</t>
  </si>
  <si>
    <t>Pracovní úrazy</t>
  </si>
  <si>
    <t>údržba Pracovních úrazů</t>
  </si>
  <si>
    <t>BOZP</t>
  </si>
  <si>
    <t>údržba BOZP</t>
  </si>
  <si>
    <t>zprovozněný FLUX servis - SDPam, SDPam.NET</t>
  </si>
  <si>
    <t>údržba Univerzálního exportu dat z SDPam</t>
  </si>
  <si>
    <t>údržba Univerzálního exportu dat z SDPam.NET</t>
  </si>
  <si>
    <t>Ostatní</t>
  </si>
  <si>
    <t>Popis</t>
  </si>
  <si>
    <t>Cena údržby</t>
  </si>
  <si>
    <t>Šifrování dat</t>
  </si>
  <si>
    <t>šifrování dat v databázi zajistí maximální ochranu dat</t>
  </si>
  <si>
    <t>Rozesílání mailem</t>
  </si>
  <si>
    <t>údržba Rozesílání mailem</t>
  </si>
  <si>
    <t>Jednotné přihlašování - SSO</t>
  </si>
  <si>
    <t>údržba PPDP</t>
  </si>
  <si>
    <t>údržba Benefity</t>
  </si>
  <si>
    <t>Oracle 8i, 9i, 10g, 11g, 12c, 18c</t>
  </si>
  <si>
    <t>Převod dat z důvodu přechodu na síťovou verzi FLUXPAM 5 (při poskytnutí nutné součinnosti)</t>
  </si>
  <si>
    <t>údržba Plánů dovolených</t>
  </si>
  <si>
    <t>údržba Schvalování nepřítomností</t>
  </si>
  <si>
    <r>
      <t xml:space="preserve">FLUXPAM 5 - multilicence </t>
    </r>
    <r>
      <rPr>
        <vertAlign val="superscript"/>
        <sz val="9"/>
        <color indexed="60"/>
        <rFont val="Arial Narrow"/>
        <family val="2"/>
        <charset val="238"/>
      </rPr>
      <t>1</t>
    </r>
    <r>
      <rPr>
        <sz val="9"/>
        <color indexed="60"/>
        <rFont val="Arial Narrow"/>
        <family val="2"/>
        <charset val="238"/>
      </rPr>
      <t>)</t>
    </r>
  </si>
  <si>
    <r>
      <t xml:space="preserve">FLUXPAM 5 - síťová verze, multilicence </t>
    </r>
    <r>
      <rPr>
        <vertAlign val="superscript"/>
        <sz val="9"/>
        <color indexed="60"/>
        <rFont val="Arial Narrow"/>
        <family val="2"/>
        <charset val="238"/>
      </rPr>
      <t>1</t>
    </r>
    <r>
      <rPr>
        <sz val="9"/>
        <color indexed="60"/>
        <rFont val="Arial Narrow"/>
        <family val="2"/>
        <charset val="238"/>
      </rPr>
      <t>)</t>
    </r>
  </si>
  <si>
    <r>
      <t>Moduly</t>
    </r>
    <r>
      <rPr>
        <vertAlign val="superscript"/>
        <sz val="10"/>
        <color indexed="60"/>
        <rFont val="Arial Narrow"/>
        <family val="2"/>
        <charset val="238"/>
      </rPr>
      <t xml:space="preserve"> </t>
    </r>
    <r>
      <rPr>
        <vertAlign val="superscript"/>
        <sz val="9"/>
        <color indexed="60"/>
        <rFont val="Arial Narrow"/>
        <family val="2"/>
        <charset val="238"/>
      </rPr>
      <t>2)</t>
    </r>
  </si>
  <si>
    <r>
      <t xml:space="preserve">Moduly pro komunikaci s ČSSZ </t>
    </r>
    <r>
      <rPr>
        <vertAlign val="superscript"/>
        <sz val="9"/>
        <color indexed="60"/>
        <rFont val="Impact"/>
        <family val="2"/>
        <charset val="238"/>
      </rPr>
      <t>4)</t>
    </r>
  </si>
  <si>
    <t>e-Neschopenky</t>
  </si>
  <si>
    <t>údržba modulu e-Neschopenky</t>
  </si>
  <si>
    <t xml:space="preserve">Musílkova 13, 150 00 Praha 5, tel. 257 221 700, www.flux.cz  </t>
  </si>
  <si>
    <t>Webová aplikace obsahující systém workflow</t>
  </si>
  <si>
    <t>Stravenkový paušál</t>
  </si>
  <si>
    <t>údržba Stravenkového paušálu</t>
  </si>
  <si>
    <t>údržba Kompletu e-modulů</t>
  </si>
  <si>
    <t>Kalkulátor dovolené po PPM</t>
  </si>
  <si>
    <t>údržba Kalkulátoru dovolené po PPM</t>
  </si>
  <si>
    <t>údržba Tisku formuláře PPDP</t>
  </si>
  <si>
    <t>7) Modul Avízo může být při společném objednání s moduly, které ho pro svoji funkčnost vyžadují, poskytnut s 50% slevou.</t>
  </si>
  <si>
    <t>Tisk formuláře PPDP</t>
  </si>
  <si>
    <r>
      <t xml:space="preserve">Avízo </t>
    </r>
    <r>
      <rPr>
        <b/>
        <vertAlign val="superscript"/>
        <sz val="10"/>
        <color indexed="60"/>
        <rFont val="Arial Narrow"/>
        <family val="2"/>
        <charset val="238"/>
      </rPr>
      <t>7)</t>
    </r>
  </si>
  <si>
    <r>
      <t xml:space="preserve">Univerzální export dat z SDPam </t>
    </r>
    <r>
      <rPr>
        <b/>
        <vertAlign val="superscript"/>
        <sz val="10"/>
        <color indexed="60"/>
        <rFont val="Arial Narrow"/>
        <family val="2"/>
        <charset val="238"/>
      </rPr>
      <t>6)</t>
    </r>
  </si>
  <si>
    <r>
      <t xml:space="preserve">Univerzální export dat z SDPam.NET </t>
    </r>
    <r>
      <rPr>
        <b/>
        <vertAlign val="superscript"/>
        <sz val="10"/>
        <color indexed="60"/>
        <rFont val="Arial Narrow"/>
        <family val="2"/>
        <charset val="238"/>
      </rPr>
      <t>6)</t>
    </r>
  </si>
  <si>
    <r>
      <t xml:space="preserve">Hodnocení zaměstnanců </t>
    </r>
    <r>
      <rPr>
        <b/>
        <vertAlign val="superscript"/>
        <sz val="9"/>
        <color indexed="60"/>
        <rFont val="Arial Narrow"/>
        <family val="2"/>
        <charset val="238"/>
      </rPr>
      <t>3) 6)</t>
    </r>
  </si>
  <si>
    <r>
      <t xml:space="preserve">Benefity </t>
    </r>
    <r>
      <rPr>
        <b/>
        <vertAlign val="superscript"/>
        <sz val="10"/>
        <color indexed="60"/>
        <rFont val="Arial Narrow"/>
        <family val="2"/>
        <charset val="238"/>
      </rPr>
      <t>5)</t>
    </r>
  </si>
  <si>
    <r>
      <t xml:space="preserve">Prohlášení poplatníka daně z příjmů </t>
    </r>
    <r>
      <rPr>
        <b/>
        <vertAlign val="superscript"/>
        <sz val="10"/>
        <color indexed="60"/>
        <rFont val="Arial Narrow"/>
        <family val="2"/>
        <charset val="238"/>
      </rPr>
      <t>5)</t>
    </r>
  </si>
  <si>
    <r>
      <t xml:space="preserve">Schvalování nepřítomností </t>
    </r>
    <r>
      <rPr>
        <b/>
        <vertAlign val="superscript"/>
        <sz val="9"/>
        <color indexed="60"/>
        <rFont val="Arial Narrow"/>
        <family val="2"/>
        <charset val="238"/>
      </rPr>
      <t>3) 5)</t>
    </r>
  </si>
  <si>
    <r>
      <t xml:space="preserve">Plány dovolených </t>
    </r>
    <r>
      <rPr>
        <b/>
        <vertAlign val="superscript"/>
        <sz val="9"/>
        <rFont val="Arial Narrow"/>
        <family val="2"/>
        <charset val="238"/>
      </rPr>
      <t>3) 5)</t>
    </r>
  </si>
  <si>
    <t>5) Tyto moduly pro svoji funkčnost vyžadují instalaci modulu Avízo, jehož licence bude v takovém případě poskytnuta s 50% slevou.</t>
  </si>
  <si>
    <t>6) Tyto moduly mohou v případě potřeby vyžadovat instalaci modulu Avízo, jehož licence bude v takovém případě poskytnuta s 50% slevou.</t>
  </si>
  <si>
    <t>Dodatková dovolená</t>
  </si>
  <si>
    <t>údržba Dodatkové dovolené</t>
  </si>
  <si>
    <t>200 až 300  Kč/os.</t>
  </si>
  <si>
    <t>Celodenní školení na učebně (při min. počtu 5 účastníků)</t>
  </si>
  <si>
    <t>modul Avízo k zasílání notifikací, pro tento případ poskytnutý s 50% slevou</t>
  </si>
  <si>
    <t>e-OZUSPOJ</t>
  </si>
  <si>
    <t>údržba modulu e-OZUSPOJ</t>
  </si>
  <si>
    <t>MS SQL Server 2014, 2016, 2017, 2019, 2022  (včetně verzí Express)</t>
  </si>
  <si>
    <t>1 950  Kč/hod.</t>
  </si>
  <si>
    <t xml:space="preserve"> 15  Kč/km</t>
  </si>
  <si>
    <t>Univerzální import harmonogramů</t>
  </si>
  <si>
    <t>údržba Univerzálního importu harmonogramů</t>
  </si>
  <si>
    <t>3) Implementace vždy vyžaduje práce na základě analýzy potřeb zákazníka v rozsahu min. 40 hodin (při hodinové sazbě 1 950,- Kč/hod)</t>
  </si>
  <si>
    <t>e-VPDPP</t>
  </si>
  <si>
    <t>údržba modulu e-VPDPP</t>
  </si>
  <si>
    <t>e-DNP</t>
  </si>
  <si>
    <t>údržba modulu e-DNP</t>
  </si>
  <si>
    <t>Ceník je platný od 1. 1. 2025</t>
  </si>
  <si>
    <t>stanice - Windows 8, 10,11   server - Win Server 2012, 2012 R2, 2016, 2019, 2022, 2025</t>
  </si>
  <si>
    <t>.NET FrameWork minimálně ve verzi 4.8</t>
  </si>
  <si>
    <t>zprovozněný Internet Information Services - IIS server, SDPAM, .NET Framework 4.8</t>
  </si>
  <si>
    <t xml:space="preserve">    činným na základě DPP, e-Neschopenky(DZDPN) - Data zaměstnavatelům o dočasné pracovní neschopnosti  a e-DNP - Ostatní dávky nemocenského pojištění.</t>
  </si>
  <si>
    <t xml:space="preserve">    e-NEMPRI - Příloha k žádosti o dávku nem. pojištění, e-OZUSPOJ - Oznámení záměru uplatňovat slevu na pojistném, e-VPDPP - Výkaz příjmů zúčtovaných zaměstnavatelem zaměstnancům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</si>
</sst>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_ ;\-#,##0\ "/>
    <numFmt numFmtId="165" formatCode="#,##0;[Red]#,##0"/>
  </numFmts>
  <fonts count="37" x14ac:knownFonts="1">
    <font>
      <sz val="10"/>
      <name val="Arial CE"/>
      <charset val="238"/>
    </font>
    <font>
      <sz val="10"/>
      <color indexed="60"/>
      <name val="Arial CE"/>
      <charset val="238"/>
    </font>
    <font>
      <sz val="10"/>
      <color indexed="60"/>
      <name val="Arial Narrow"/>
      <family val="2"/>
    </font>
    <font>
      <sz val="8"/>
      <color indexed="60"/>
      <name val="Arial CE"/>
      <charset val="238"/>
    </font>
    <font>
      <b/>
      <sz val="8"/>
      <color indexed="60"/>
      <name val="Arial Narrow"/>
      <family val="2"/>
    </font>
    <font>
      <sz val="8"/>
      <color indexed="60"/>
      <name val="Arial Narrow"/>
      <family val="2"/>
    </font>
    <font>
      <b/>
      <sz val="10"/>
      <color indexed="60"/>
      <name val="Arial Narrow"/>
      <family val="2"/>
    </font>
    <font>
      <sz val="10"/>
      <color indexed="60"/>
      <name val="Arial Narrow"/>
      <family val="2"/>
      <charset val="238"/>
    </font>
    <font>
      <b/>
      <sz val="10"/>
      <color indexed="60"/>
      <name val="Arial Narrow"/>
      <family val="2"/>
      <charset val="238"/>
    </font>
    <font>
      <sz val="14"/>
      <color indexed="60"/>
      <name val="Arial Narrow"/>
      <family val="2"/>
    </font>
    <font>
      <sz val="9"/>
      <color indexed="60"/>
      <name val="Arial Narrow"/>
      <family val="2"/>
      <charset val="238"/>
    </font>
    <font>
      <b/>
      <sz val="12"/>
      <color indexed="60"/>
      <name val="Arial Narrow"/>
      <family val="2"/>
      <charset val="238"/>
    </font>
    <font>
      <sz val="10"/>
      <color indexed="60"/>
      <name val="Impact"/>
      <family val="2"/>
      <charset val="238"/>
    </font>
    <font>
      <sz val="9"/>
      <color indexed="60"/>
      <name val="Impact"/>
      <family val="2"/>
      <charset val="238"/>
    </font>
    <font>
      <sz val="9"/>
      <color indexed="60"/>
      <name val="Arial CE"/>
      <charset val="238"/>
    </font>
    <font>
      <vertAlign val="superscript"/>
      <sz val="10"/>
      <color indexed="6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indexed="60"/>
      <name val="Arial Narrow"/>
      <family val="2"/>
    </font>
    <font>
      <sz val="11"/>
      <name val="Arial CE"/>
      <charset val="238"/>
    </font>
    <font>
      <sz val="8"/>
      <color indexed="6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sz val="9"/>
      <name val="Arial Narrow"/>
      <family val="2"/>
      <charset val="238"/>
    </font>
    <font>
      <b/>
      <sz val="11"/>
      <color indexed="60"/>
      <name val="Arial Narrow"/>
      <family val="2"/>
      <charset val="238"/>
    </font>
    <font>
      <sz val="11"/>
      <color indexed="60"/>
      <name val="Arial CE"/>
      <charset val="238"/>
    </font>
    <font>
      <sz val="11"/>
      <color indexed="60"/>
      <name val="Arial Narrow"/>
      <family val="2"/>
      <charset val="238"/>
    </font>
    <font>
      <sz val="14"/>
      <color theme="1" tint="0.34998626667073579"/>
      <name val="Impact"/>
      <family val="2"/>
      <charset val="238"/>
    </font>
    <font>
      <sz val="10"/>
      <color theme="1" tint="0.34998626667073579"/>
      <name val="Impact"/>
      <family val="2"/>
      <charset val="238"/>
    </font>
    <font>
      <sz val="11"/>
      <color indexed="60"/>
      <name val="Calibri"/>
      <family val="2"/>
      <charset val="238"/>
      <scheme val="minor"/>
    </font>
    <font>
      <vertAlign val="superscript"/>
      <sz val="9"/>
      <color indexed="60"/>
      <name val="Arial Narrow"/>
      <family val="2"/>
      <charset val="238"/>
    </font>
    <font>
      <b/>
      <vertAlign val="superscript"/>
      <sz val="9"/>
      <color indexed="60"/>
      <name val="Arial Narrow"/>
      <family val="2"/>
      <charset val="238"/>
    </font>
    <font>
      <vertAlign val="superscript"/>
      <sz val="9"/>
      <color indexed="60"/>
      <name val="Impact"/>
      <family val="2"/>
      <charset val="238"/>
    </font>
    <font>
      <sz val="9"/>
      <color indexed="60"/>
      <name val="Arial Narrow"/>
      <family val="2"/>
    </font>
    <font>
      <sz val="9"/>
      <name val="Arial CE"/>
      <charset val="238"/>
    </font>
    <font>
      <b/>
      <vertAlign val="superscript"/>
      <sz val="9"/>
      <name val="Arial Narrow"/>
      <family val="2"/>
      <charset val="238"/>
    </font>
    <font>
      <b/>
      <vertAlign val="superscript"/>
      <sz val="10"/>
      <color indexed="60"/>
      <name val="Arial Narrow"/>
      <family val="2"/>
      <charset val="238"/>
    </font>
    <font>
      <b/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/>
      <right/>
      <top style="dotted">
        <color indexed="63"/>
      </top>
      <bottom style="dotted">
        <color indexed="63"/>
      </bottom>
      <diagonal/>
    </border>
    <border>
      <left/>
      <right/>
      <top style="dotted">
        <color indexed="63"/>
      </top>
      <bottom/>
      <diagonal/>
    </border>
    <border>
      <left/>
      <right/>
      <top style="thin">
        <color indexed="63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4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5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7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0" xfId="0" applyNumberFormat="1" applyFont="1" applyFill="1" applyAlignment="1" applyProtection="1">
      <alignment horizontal="right" vertical="center" wrapText="1"/>
      <protection hidden="1"/>
    </xf>
    <xf numFmtId="164" fontId="2" fillId="2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8" xfId="0" applyNumberFormat="1" applyFont="1" applyFill="1" applyBorder="1" applyAlignment="1" applyProtection="1">
      <alignment horizontal="right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3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4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0" xfId="0" applyNumberFormat="1" applyFont="1" applyFill="1" applyAlignment="1" applyProtection="1">
      <alignment horizontal="right" vertical="center" wrapText="1"/>
      <protection hidden="1"/>
    </xf>
    <xf numFmtId="164" fontId="2" fillId="3" borderId="9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8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2" fillId="3" borderId="1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hidden="1"/>
    </xf>
    <xf numFmtId="0" fontId="8" fillId="3" borderId="5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12" fillId="3" borderId="1" xfId="0" applyFont="1" applyFill="1" applyBorder="1" applyProtection="1">
      <protection hidden="1"/>
    </xf>
    <xf numFmtId="0" fontId="8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 wrapText="1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7" fillId="3" borderId="9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7" fillId="3" borderId="11" xfId="0" applyFont="1" applyFill="1" applyBorder="1" applyAlignment="1" applyProtection="1">
      <alignment horizontal="left" vertical="center" wrapText="1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8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17" fillId="2" borderId="12" xfId="0" applyFont="1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8" fillId="2" borderId="10" xfId="0" applyFont="1" applyFill="1" applyBorder="1" applyAlignment="1" applyProtection="1">
      <alignment vertical="center"/>
      <protection hidden="1"/>
    </xf>
    <xf numFmtId="0" fontId="21" fillId="2" borderId="10" xfId="0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16" fillId="0" borderId="10" xfId="0" applyFont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65" fontId="2" fillId="3" borderId="6" xfId="0" applyNumberFormat="1" applyFont="1" applyFill="1" applyBorder="1" applyAlignment="1" applyProtection="1">
      <alignment horizontal="right" vertical="center" indent="1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164" fontId="20" fillId="2" borderId="3" xfId="0" applyNumberFormat="1" applyFont="1" applyFill="1" applyBorder="1" applyAlignment="1" applyProtection="1">
      <alignment vertical="center"/>
      <protection hidden="1"/>
    </xf>
    <xf numFmtId="164" fontId="20" fillId="2" borderId="2" xfId="0" applyNumberFormat="1" applyFont="1" applyFill="1" applyBorder="1" applyAlignment="1" applyProtection="1">
      <alignment vertical="center"/>
      <protection hidden="1"/>
    </xf>
    <xf numFmtId="164" fontId="20" fillId="2" borderId="4" xfId="0" applyNumberFormat="1" applyFont="1" applyFill="1" applyBorder="1" applyAlignment="1" applyProtection="1">
      <alignment vertical="center"/>
      <protection hidden="1"/>
    </xf>
    <xf numFmtId="0" fontId="28" fillId="0" borderId="12" xfId="0" applyFont="1" applyBorder="1" applyAlignment="1" applyProtection="1">
      <alignment vertical="center"/>
      <protection hidden="1"/>
    </xf>
    <xf numFmtId="0" fontId="24" fillId="0" borderId="12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vertical="center"/>
      <protection hidden="1"/>
    </xf>
    <xf numFmtId="0" fontId="7" fillId="0" borderId="14" xfId="0" applyFont="1" applyBorder="1" applyAlignment="1" applyProtection="1">
      <alignment vertical="center"/>
      <protection hidden="1"/>
    </xf>
    <xf numFmtId="0" fontId="25" fillId="0" borderId="12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2" fillId="3" borderId="12" xfId="0" applyFont="1" applyFill="1" applyBorder="1" applyAlignment="1" applyProtection="1">
      <alignment horizontal="left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164" fontId="2" fillId="0" borderId="15" xfId="0" applyNumberFormat="1" applyFont="1" applyBorder="1" applyAlignment="1" applyProtection="1">
      <alignment horizontal="right" vertical="center" wrapText="1"/>
      <protection hidden="1"/>
    </xf>
    <xf numFmtId="164" fontId="2" fillId="3" borderId="15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0" xfId="0" applyFont="1" applyFill="1" applyBorder="1" applyAlignment="1" applyProtection="1">
      <alignment horizontal="left" vertical="center" wrapText="1"/>
      <protection hidden="1"/>
    </xf>
    <xf numFmtId="164" fontId="2" fillId="0" borderId="10" xfId="0" applyNumberFormat="1" applyFont="1" applyBorder="1" applyAlignment="1" applyProtection="1">
      <alignment horizontal="right" vertical="center" wrapText="1"/>
      <protection hidden="1"/>
    </xf>
    <xf numFmtId="164" fontId="2" fillId="3" borderId="10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10" xfId="0" applyFont="1" applyFill="1" applyBorder="1" applyAlignment="1" applyProtection="1">
      <alignment horizontal="left" vertical="center" wrapText="1"/>
      <protection hidden="1"/>
    </xf>
    <xf numFmtId="164" fontId="7" fillId="0" borderId="11" xfId="0" applyNumberFormat="1" applyFont="1" applyBorder="1" applyAlignment="1" applyProtection="1">
      <alignment horizontal="right" vertical="center" wrapText="1"/>
      <protection hidden="1"/>
    </xf>
    <xf numFmtId="164" fontId="7" fillId="3" borderId="11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1" xfId="0" applyNumberFormat="1" applyFont="1" applyBorder="1" applyAlignment="1" applyProtection="1">
      <alignment horizontal="right" vertical="center" wrapText="1"/>
      <protection hidden="1"/>
    </xf>
    <xf numFmtId="164" fontId="2" fillId="3" borderId="11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10" xfId="0" applyFont="1" applyFill="1" applyBorder="1" applyAlignment="1" applyProtection="1">
      <alignment vertical="center" wrapText="1"/>
      <protection hidden="1"/>
    </xf>
    <xf numFmtId="0" fontId="2" fillId="3" borderId="10" xfId="0" applyFont="1" applyFill="1" applyBorder="1" applyAlignment="1" applyProtection="1">
      <alignment vertical="center" wrapText="1"/>
      <protection hidden="1"/>
    </xf>
    <xf numFmtId="0" fontId="2" fillId="3" borderId="11" xfId="0" applyFont="1" applyFill="1" applyBorder="1" applyAlignment="1" applyProtection="1">
      <alignment vertical="center" wrapText="1"/>
      <protection hidden="1"/>
    </xf>
    <xf numFmtId="0" fontId="12" fillId="0" borderId="12" xfId="0" applyFont="1" applyBorder="1" applyAlignment="1" applyProtection="1">
      <alignment horizontal="left"/>
      <protection hidden="1"/>
    </xf>
    <xf numFmtId="0" fontId="8" fillId="0" borderId="15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164" fontId="2" fillId="0" borderId="0" xfId="0" applyNumberFormat="1" applyFont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2" fillId="2" borderId="15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12" xfId="0" applyFont="1" applyFill="1" applyBorder="1" applyAlignment="1" applyProtection="1">
      <alignment horizontal="left"/>
      <protection hidden="1"/>
    </xf>
    <xf numFmtId="0" fontId="8" fillId="2" borderId="15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2" fillId="2" borderId="11" xfId="0" applyFont="1" applyFill="1" applyBorder="1" applyAlignment="1" applyProtection="1">
      <alignment horizontal="left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164" fontId="2" fillId="2" borderId="10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11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horizontal="left" wrapText="1"/>
      <protection hidden="1"/>
    </xf>
    <xf numFmtId="165" fontId="2" fillId="3" borderId="0" xfId="0" applyNumberFormat="1" applyFont="1" applyFill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center" vertical="center"/>
      <protection hidden="1"/>
    </xf>
    <xf numFmtId="165" fontId="2" fillId="3" borderId="11" xfId="0" applyNumberFormat="1" applyFont="1" applyFill="1" applyBorder="1" applyAlignment="1" applyProtection="1">
      <alignment horizontal="right" vertical="center" inden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inden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165" fontId="2" fillId="0" borderId="0" xfId="0" applyNumberFormat="1" applyFont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indent="1"/>
      <protection hidden="1"/>
    </xf>
    <xf numFmtId="0" fontId="16" fillId="0" borderId="11" xfId="0" applyFont="1" applyBorder="1" applyAlignment="1" applyProtection="1">
      <alignment horizontal="left" vertical="center"/>
      <protection hidden="1"/>
    </xf>
    <xf numFmtId="0" fontId="17" fillId="2" borderId="1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12" xfId="0" applyFont="1" applyBorder="1" applyAlignment="1" applyProtection="1">
      <alignment vertical="center"/>
      <protection hidden="1"/>
    </xf>
    <xf numFmtId="0" fontId="12" fillId="3" borderId="16" xfId="0" applyFont="1" applyFill="1" applyBorder="1" applyAlignment="1" applyProtection="1">
      <alignment vertical="center"/>
      <protection hidden="1"/>
    </xf>
    <xf numFmtId="164" fontId="8" fillId="2" borderId="16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12" fillId="3" borderId="16" xfId="0" applyFont="1" applyFill="1" applyBorder="1" applyProtection="1">
      <protection hidden="1"/>
    </xf>
    <xf numFmtId="0" fontId="14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center" vertical="center"/>
    </xf>
    <xf numFmtId="164" fontId="2" fillId="4" borderId="1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21" fillId="2" borderId="7" xfId="0" applyFont="1" applyFill="1" applyBorder="1" applyAlignment="1" applyProtection="1">
      <alignment vertical="center"/>
      <protection hidden="1"/>
    </xf>
    <xf numFmtId="164" fontId="20" fillId="2" borderId="7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164" fontId="2" fillId="3" borderId="0" xfId="0" applyNumberFormat="1" applyFont="1" applyFill="1" applyAlignment="1" applyProtection="1">
      <alignment horizontal="right" vertical="center" wrapText="1"/>
      <protection hidden="1"/>
    </xf>
    <xf numFmtId="164" fontId="2" fillId="4" borderId="11" xfId="0" applyNumberFormat="1" applyFont="1" applyFill="1" applyBorder="1" applyAlignment="1" applyProtection="1">
      <alignment horizontal="right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21" fillId="2" borderId="2" xfId="0" applyFont="1" applyFill="1" applyBorder="1" applyAlignment="1" applyProtection="1">
      <alignment vertical="center"/>
      <protection hidden="1"/>
    </xf>
    <xf numFmtId="0" fontId="11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6" fillId="0" borderId="10" xfId="0" applyFont="1" applyBorder="1" applyAlignment="1" applyProtection="1">
      <alignment horizontal="left" vertical="center"/>
      <protection hidden="1"/>
    </xf>
    <xf numFmtId="165" fontId="2" fillId="3" borderId="10" xfId="0" applyNumberFormat="1" applyFont="1" applyFill="1" applyBorder="1" applyAlignment="1" applyProtection="1">
      <alignment horizontal="right" vertical="center" indent="1"/>
      <protection hidden="1"/>
    </xf>
    <xf numFmtId="164" fontId="20" fillId="3" borderId="3" xfId="0" applyNumberFormat="1" applyFont="1" applyFill="1" applyBorder="1" applyAlignment="1" applyProtection="1">
      <alignment horizontal="right" vertical="center" indent="1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165" fontId="2" fillId="3" borderId="12" xfId="0" applyNumberFormat="1" applyFont="1" applyFill="1" applyBorder="1" applyAlignment="1" applyProtection="1">
      <alignment horizontal="right" vertical="center" indent="1"/>
      <protection hidden="1"/>
    </xf>
    <xf numFmtId="0" fontId="0" fillId="3" borderId="10" xfId="0" applyFill="1" applyBorder="1" applyAlignment="1" applyProtection="1">
      <alignment horizontal="right" indent="1"/>
      <protection hidden="1"/>
    </xf>
    <xf numFmtId="0" fontId="23" fillId="0" borderId="12" xfId="0" applyFont="1" applyBorder="1" applyAlignment="1" applyProtection="1">
      <alignment vertical="center"/>
      <protection hidden="1"/>
    </xf>
    <xf numFmtId="0" fontId="18" fillId="0" borderId="12" xfId="0" applyFont="1" applyBorder="1" applyProtection="1"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right" vertical="center" indent="1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21" fillId="2" borderId="4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right" vertical="center" indent="1"/>
      <protection hidden="1"/>
    </xf>
    <xf numFmtId="0" fontId="0" fillId="3" borderId="2" xfId="0" applyFill="1" applyBorder="1" applyAlignment="1" applyProtection="1">
      <alignment horizontal="right" vertical="center" indent="1"/>
      <protection hidden="1"/>
    </xf>
    <xf numFmtId="0" fontId="2" fillId="3" borderId="4" xfId="0" applyFont="1" applyFill="1" applyBorder="1" applyAlignment="1" applyProtection="1">
      <alignment horizontal="right" vertical="center" indent="1"/>
      <protection hidden="1"/>
    </xf>
    <xf numFmtId="0" fontId="0" fillId="3" borderId="4" xfId="0" applyFill="1" applyBorder="1" applyAlignment="1" applyProtection="1">
      <alignment horizontal="right" vertical="center" indent="1"/>
      <protection hidden="1"/>
    </xf>
    <xf numFmtId="6" fontId="2" fillId="3" borderId="3" xfId="0" applyNumberFormat="1" applyFont="1" applyFill="1" applyBorder="1" applyAlignment="1" applyProtection="1">
      <alignment horizontal="right" vertical="center" indent="1"/>
      <protection hidden="1"/>
    </xf>
    <xf numFmtId="0" fontId="0" fillId="3" borderId="3" xfId="0" applyFill="1" applyBorder="1" applyAlignment="1" applyProtection="1">
      <alignment horizontal="right" vertical="center" indent="1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21" fillId="2" borderId="3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right" vertical="center" indent="1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33" fillId="0" borderId="0" xfId="0" applyFont="1" applyAlignment="1">
      <alignment vertical="center"/>
    </xf>
    <xf numFmtId="0" fontId="7" fillId="3" borderId="14" xfId="0" applyFont="1" applyFill="1" applyBorder="1" applyProtection="1">
      <protection hidden="1"/>
    </xf>
    <xf numFmtId="0" fontId="10" fillId="3" borderId="8" xfId="0" applyFont="1" applyFill="1" applyBorder="1" applyAlignment="1" applyProtection="1">
      <alignment vertical="center"/>
      <protection hidden="1"/>
    </xf>
    <xf numFmtId="0" fontId="10" fillId="3" borderId="12" xfId="0" applyFont="1" applyFill="1" applyBorder="1" applyAlignment="1" applyProtection="1">
      <alignment vertical="center"/>
      <protection hidden="1"/>
    </xf>
    <xf numFmtId="0" fontId="33" fillId="0" borderId="12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3" borderId="14" xfId="0" applyFont="1" applyFill="1" applyBorder="1" applyAlignment="1" applyProtection="1">
      <alignment vertical="center"/>
      <protection hidden="1"/>
    </xf>
    <xf numFmtId="0" fontId="20" fillId="0" borderId="14" xfId="0" applyFont="1" applyBorder="1" applyAlignment="1" applyProtection="1">
      <alignment vertical="center"/>
      <protection hidden="1"/>
    </xf>
    <xf numFmtId="0" fontId="7" fillId="3" borderId="13" xfId="0" applyFont="1" applyFill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D3EE"/>
      <rgbColor rgb="00FFFFFF"/>
      <rgbColor rgb="00FF0000"/>
      <rgbColor rgb="0000FF00"/>
      <rgbColor rgb="000000FF"/>
      <rgbColor rgb="00FFFF00"/>
      <rgbColor rgb="00FF00FF"/>
      <rgbColor rgb="0000FFFF"/>
      <rgbColor rgb="00C2EEF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779145</xdr:colOff>
      <xdr:row>5</xdr:row>
      <xdr:rowOff>97155</xdr:rowOff>
    </xdr:to>
    <xdr:pic>
      <xdr:nvPicPr>
        <xdr:cNvPr id="28727" name="Obrázek 2" descr="LOGO.png">
          <a:extLst>
            <a:ext uri="{FF2B5EF4-FFF2-40B4-BE49-F238E27FC236}">
              <a16:creationId xmlns:a16="http://schemas.microsoft.com/office/drawing/2014/main" id="{00000000-0008-0000-0000-000037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76200"/>
          <a:ext cx="23088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1904</xdr:rowOff>
    </xdr:from>
    <xdr:to>
      <xdr:col>2</xdr:col>
      <xdr:colOff>2301240</xdr:colOff>
      <xdr:row>6</xdr:row>
      <xdr:rowOff>0</xdr:rowOff>
    </xdr:to>
    <xdr:pic>
      <xdr:nvPicPr>
        <xdr:cNvPr id="18364" name="Obrázek 2" descr="LOGO.png">
          <a:extLst>
            <a:ext uri="{FF2B5EF4-FFF2-40B4-BE49-F238E27FC236}">
              <a16:creationId xmlns:a16="http://schemas.microsoft.com/office/drawing/2014/main" id="{00000000-0008-0000-0100-0000BC4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159" y="88495"/>
          <a:ext cx="2301240" cy="586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2307981</xdr:colOff>
      <xdr:row>5</xdr:row>
      <xdr:rowOff>93345</xdr:rowOff>
    </xdr:to>
    <xdr:pic>
      <xdr:nvPicPr>
        <xdr:cNvPr id="2" name="Obrázek 2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76200"/>
          <a:ext cx="23088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tabSelected="1" showRuler="0" zoomScale="110" zoomScaleNormal="110" zoomScaleSheetLayoutView="100" workbookViewId="0">
      <selection activeCell="W28" sqref="W28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22.109375" style="4" customWidth="1"/>
    <col min="4" max="4" width="20.88671875" style="4" customWidth="1"/>
    <col min="5" max="14" width="7.6640625" style="2" customWidth="1"/>
    <col min="15" max="15" width="7" style="1" customWidth="1"/>
    <col min="16" max="16" width="0.44140625" style="1" customWidth="1"/>
    <col min="17" max="18" width="6.6640625" style="1" customWidth="1"/>
    <col min="19" max="19" width="7.21875" style="1" customWidth="1"/>
    <col min="20" max="21" width="6.6640625" style="1" customWidth="1"/>
    <col min="22" max="16384" width="9.109375" style="1"/>
  </cols>
  <sheetData>
    <row r="1" spans="1:16" ht="6" customHeight="1" x14ac:dyDescent="0.25">
      <c r="A1" s="37"/>
      <c r="B1" s="37"/>
      <c r="C1" s="55"/>
      <c r="D1" s="55"/>
      <c r="E1" s="32"/>
      <c r="F1" s="32"/>
      <c r="G1" s="32"/>
      <c r="H1" s="32"/>
      <c r="I1" s="32"/>
      <c r="J1" s="32"/>
      <c r="K1" s="32"/>
      <c r="L1" s="32"/>
      <c r="M1" s="32"/>
      <c r="N1" s="32"/>
      <c r="O1" s="37"/>
    </row>
    <row r="2" spans="1:16" ht="9.75" customHeight="1" x14ac:dyDescent="0.25">
      <c r="A2" s="3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9.15" customHeight="1" x14ac:dyDescent="0.35">
      <c r="A3" s="37"/>
      <c r="B3" s="30"/>
      <c r="C3" s="30"/>
      <c r="D3" s="30"/>
      <c r="E3" s="30"/>
      <c r="F3" s="38"/>
      <c r="G3" s="30"/>
      <c r="H3" s="30"/>
      <c r="I3" s="30"/>
      <c r="J3" s="30"/>
      <c r="K3" s="30"/>
      <c r="L3" s="30"/>
      <c r="M3" s="30"/>
      <c r="N3" s="30"/>
      <c r="O3" s="30"/>
    </row>
    <row r="4" spans="1:16" ht="3" customHeight="1" x14ac:dyDescent="0.25">
      <c r="A4" s="37"/>
      <c r="B4" s="30"/>
      <c r="C4" s="30"/>
      <c r="D4" s="30"/>
      <c r="E4" s="30"/>
      <c r="F4" s="39"/>
      <c r="G4" s="30"/>
      <c r="H4" s="32"/>
      <c r="I4" s="56"/>
      <c r="J4" s="56"/>
      <c r="K4" s="56"/>
      <c r="L4" s="56"/>
      <c r="M4" s="56"/>
      <c r="N4" s="56"/>
      <c r="O4" s="30"/>
    </row>
    <row r="5" spans="1:16" ht="16.5" customHeight="1" x14ac:dyDescent="0.25">
      <c r="A5" s="37"/>
      <c r="B5" s="30"/>
      <c r="C5" s="30"/>
      <c r="D5" s="30"/>
      <c r="E5" s="185">
        <f>1.038*1.151*1.107*1.024</f>
        <v>1.3543167651840002</v>
      </c>
      <c r="F5" s="39"/>
      <c r="G5" s="30"/>
      <c r="H5" s="56"/>
      <c r="I5" s="56"/>
      <c r="J5" s="56"/>
      <c r="K5" s="56"/>
      <c r="L5" s="56"/>
      <c r="M5" s="56"/>
      <c r="N5" s="41" t="s">
        <v>61</v>
      </c>
      <c r="O5" s="37"/>
    </row>
    <row r="6" spans="1:16" ht="9.15" customHeight="1" x14ac:dyDescent="0.25">
      <c r="A6" s="37"/>
      <c r="B6" s="30"/>
      <c r="C6" s="30"/>
      <c r="D6" s="30"/>
      <c r="E6" s="30"/>
      <c r="F6" s="30"/>
      <c r="G6" s="30"/>
      <c r="H6" s="56"/>
      <c r="I6" s="56"/>
      <c r="J6" s="56"/>
      <c r="K6" s="56"/>
      <c r="L6" s="56"/>
      <c r="M6" s="56"/>
      <c r="N6" s="56"/>
      <c r="O6" s="37"/>
    </row>
    <row r="7" spans="1:16" ht="9.15" customHeight="1" x14ac:dyDescent="0.25">
      <c r="A7" s="37"/>
      <c r="B7" s="30"/>
      <c r="C7" s="30"/>
      <c r="D7" s="30"/>
      <c r="E7" s="30"/>
      <c r="F7" s="30"/>
      <c r="G7" s="30"/>
      <c r="H7" s="42"/>
      <c r="I7" s="30"/>
      <c r="J7" s="30"/>
      <c r="K7" s="30"/>
      <c r="L7" s="30"/>
      <c r="M7" s="30"/>
      <c r="N7" s="40"/>
      <c r="O7" s="37"/>
    </row>
    <row r="8" spans="1:16" s="3" customFormat="1" ht="9.15" customHeight="1" x14ac:dyDescent="0.25">
      <c r="A8" s="37"/>
      <c r="B8" s="43"/>
      <c r="C8" s="30"/>
      <c r="D8" s="30"/>
      <c r="E8" s="30"/>
      <c r="F8" s="31"/>
      <c r="G8" s="31"/>
      <c r="H8" s="31"/>
      <c r="I8" s="32" t="s">
        <v>0</v>
      </c>
      <c r="J8" s="31"/>
      <c r="K8" s="31"/>
      <c r="L8" s="31"/>
      <c r="M8" s="31"/>
      <c r="N8" s="31"/>
      <c r="O8" s="37"/>
      <c r="P8" s="1"/>
    </row>
    <row r="9" spans="1:16" ht="19.8" customHeight="1" x14ac:dyDescent="0.25">
      <c r="A9" s="37"/>
      <c r="B9" s="37" t="s">
        <v>21</v>
      </c>
      <c r="C9" s="59" t="s">
        <v>22</v>
      </c>
      <c r="D9" s="59"/>
      <c r="E9" s="6">
        <f t="shared" ref="E9:N9" si="0">E12</f>
        <v>25</v>
      </c>
      <c r="F9" s="17">
        <f t="shared" si="0"/>
        <v>50</v>
      </c>
      <c r="G9" s="6">
        <f t="shared" si="0"/>
        <v>100</v>
      </c>
      <c r="H9" s="17">
        <f t="shared" si="0"/>
        <v>300</v>
      </c>
      <c r="I9" s="6">
        <f t="shared" si="0"/>
        <v>500</v>
      </c>
      <c r="J9" s="17">
        <f t="shared" si="0"/>
        <v>1000</v>
      </c>
      <c r="K9" s="6">
        <f t="shared" si="0"/>
        <v>1500</v>
      </c>
      <c r="L9" s="17">
        <f t="shared" si="0"/>
        <v>2000</v>
      </c>
      <c r="M9" s="6">
        <f t="shared" si="0"/>
        <v>2500</v>
      </c>
      <c r="N9" s="17">
        <f t="shared" si="0"/>
        <v>3000</v>
      </c>
      <c r="O9" s="37"/>
    </row>
    <row r="10" spans="1:16" ht="13.8" customHeight="1" x14ac:dyDescent="0.25">
      <c r="A10" s="37"/>
      <c r="B10" s="37"/>
      <c r="C10" s="60" t="s">
        <v>99</v>
      </c>
      <c r="D10" s="61"/>
      <c r="E10" s="8">
        <f>ROUND(E13/2.1,-2)</f>
        <v>15900</v>
      </c>
      <c r="F10" s="20">
        <f t="shared" ref="F10:L10" si="1">ROUND(F13/2.1,-2)</f>
        <v>22600</v>
      </c>
      <c r="G10" s="8">
        <f t="shared" si="1"/>
        <v>32700</v>
      </c>
      <c r="H10" s="20">
        <f t="shared" si="1"/>
        <v>60000</v>
      </c>
      <c r="I10" s="8">
        <f t="shared" si="1"/>
        <v>80100</v>
      </c>
      <c r="J10" s="20">
        <f t="shared" si="1"/>
        <v>119000</v>
      </c>
      <c r="K10" s="8">
        <f t="shared" si="1"/>
        <v>150200</v>
      </c>
      <c r="L10" s="20">
        <f t="shared" si="1"/>
        <v>177200</v>
      </c>
      <c r="M10" s="8"/>
      <c r="N10" s="20"/>
      <c r="O10" s="37"/>
    </row>
    <row r="11" spans="1:16" ht="13.8" customHeight="1" x14ac:dyDescent="0.25">
      <c r="A11" s="37"/>
      <c r="B11" s="37"/>
      <c r="C11" s="62" t="s">
        <v>1</v>
      </c>
      <c r="D11" s="63"/>
      <c r="E11" s="9">
        <f>ROUNDUP(1000+(E10*0.451),-1)</f>
        <v>8180</v>
      </c>
      <c r="F11" s="21">
        <f>ROUNDUP(1000+(F10*0.451),-1)</f>
        <v>11200</v>
      </c>
      <c r="G11" s="9">
        <f>ROUNDUP(1000+(G10*0.451),-1)</f>
        <v>15750</v>
      </c>
      <c r="H11" s="21">
        <f>ROUNDUP(1000+(H10*0.38),-1)</f>
        <v>23800</v>
      </c>
      <c r="I11" s="9">
        <f>ROUNDUP(1000+(I10*0.33),-1)</f>
        <v>27440</v>
      </c>
      <c r="J11" s="21">
        <f>ROUNDUP(1000+(J10*0.27),-1)</f>
        <v>33130</v>
      </c>
      <c r="K11" s="9">
        <f>ROUNDUP(1000+(K10*0.27),-1)</f>
        <v>41560</v>
      </c>
      <c r="L11" s="21">
        <f>ROUNDUP(1000+(L10*0.26),-1)</f>
        <v>47080</v>
      </c>
      <c r="M11" s="9"/>
      <c r="N11" s="21"/>
      <c r="O11" s="37"/>
    </row>
    <row r="12" spans="1:16" ht="19.8" customHeight="1" x14ac:dyDescent="0.25">
      <c r="A12" s="37"/>
      <c r="B12" s="37"/>
      <c r="C12" s="177" t="s">
        <v>50</v>
      </c>
      <c r="D12" s="177"/>
      <c r="E12" s="178">
        <v>25</v>
      </c>
      <c r="F12" s="179">
        <v>50</v>
      </c>
      <c r="G12" s="178">
        <v>100</v>
      </c>
      <c r="H12" s="179">
        <v>300</v>
      </c>
      <c r="I12" s="178">
        <v>500</v>
      </c>
      <c r="J12" s="179">
        <v>1000</v>
      </c>
      <c r="K12" s="178">
        <v>1500</v>
      </c>
      <c r="L12" s="179">
        <v>2000</v>
      </c>
      <c r="M12" s="178">
        <v>2500</v>
      </c>
      <c r="N12" s="179">
        <v>3000</v>
      </c>
      <c r="O12" s="37"/>
    </row>
    <row r="13" spans="1:16" ht="13.8" customHeight="1" x14ac:dyDescent="0.25">
      <c r="A13" s="37"/>
      <c r="B13" s="37"/>
      <c r="C13" s="64" t="s">
        <v>79</v>
      </c>
      <c r="D13" s="65"/>
      <c r="E13" s="10">
        <f t="shared" ref="E13:N13" si="2">ROUND((3.1+(5.3*E12)^(1/1.71))*1200*$E$5,-2)</f>
        <v>33300</v>
      </c>
      <c r="F13" s="18">
        <f t="shared" si="2"/>
        <v>47500</v>
      </c>
      <c r="G13" s="10">
        <f t="shared" si="2"/>
        <v>68700</v>
      </c>
      <c r="H13" s="18">
        <f t="shared" si="2"/>
        <v>126100</v>
      </c>
      <c r="I13" s="10">
        <f t="shared" si="2"/>
        <v>168300</v>
      </c>
      <c r="J13" s="18">
        <f t="shared" si="2"/>
        <v>249900</v>
      </c>
      <c r="K13" s="10">
        <f t="shared" si="2"/>
        <v>315400</v>
      </c>
      <c r="L13" s="18">
        <f t="shared" si="2"/>
        <v>372200</v>
      </c>
      <c r="M13" s="10">
        <f t="shared" si="2"/>
        <v>423400</v>
      </c>
      <c r="N13" s="18">
        <f t="shared" si="2"/>
        <v>470500</v>
      </c>
      <c r="O13" s="37"/>
    </row>
    <row r="14" spans="1:16" ht="13.8" customHeight="1" x14ac:dyDescent="0.25">
      <c r="A14" s="37"/>
      <c r="B14" s="37"/>
      <c r="C14" s="66" t="s">
        <v>81</v>
      </c>
      <c r="D14" s="67"/>
      <c r="E14" s="11"/>
      <c r="F14" s="22"/>
      <c r="G14" s="11">
        <f>ROUND(G13*1.5,-2)</f>
        <v>103100</v>
      </c>
      <c r="H14" s="22">
        <f t="shared" ref="H14:M14" si="3">ROUND(H13*1.5,-2)</f>
        <v>189200</v>
      </c>
      <c r="I14" s="11">
        <f t="shared" si="3"/>
        <v>252500</v>
      </c>
      <c r="J14" s="22">
        <f t="shared" si="3"/>
        <v>374900</v>
      </c>
      <c r="K14" s="11">
        <f t="shared" si="3"/>
        <v>473100</v>
      </c>
      <c r="L14" s="22">
        <f t="shared" si="3"/>
        <v>558300</v>
      </c>
      <c r="M14" s="11">
        <f t="shared" si="3"/>
        <v>635100</v>
      </c>
      <c r="N14" s="22">
        <f>ROUND(N13*1.5,-2)</f>
        <v>705800</v>
      </c>
      <c r="O14" s="37"/>
    </row>
    <row r="15" spans="1:16" ht="13.8" customHeight="1" x14ac:dyDescent="0.25">
      <c r="A15" s="37"/>
      <c r="B15" s="37"/>
      <c r="C15" s="68" t="s">
        <v>95</v>
      </c>
      <c r="D15" s="69"/>
      <c r="E15" s="12">
        <f>ROUNDUP((E13*0.49),-1)</f>
        <v>16320</v>
      </c>
      <c r="F15" s="23">
        <f>ROUNDUP((F13*0.49),-1)</f>
        <v>23280</v>
      </c>
      <c r="G15" s="12">
        <f>ROUNDUP((G13*0.48),-1)</f>
        <v>32980</v>
      </c>
      <c r="H15" s="23">
        <f>ROUNDUP((H13*0.38),-1)</f>
        <v>47920</v>
      </c>
      <c r="I15" s="13">
        <f>ROUNDUP((I13*0.33),-1)</f>
        <v>55540</v>
      </c>
      <c r="J15" s="26">
        <f t="shared" ref="J15:N16" si="4">ROUNDUP((J13*0.27),-1)</f>
        <v>67480</v>
      </c>
      <c r="K15" s="13">
        <f t="shared" si="4"/>
        <v>85160</v>
      </c>
      <c r="L15" s="26">
        <f t="shared" si="4"/>
        <v>100500</v>
      </c>
      <c r="M15" s="13">
        <f t="shared" si="4"/>
        <v>114320</v>
      </c>
      <c r="N15" s="26">
        <f t="shared" si="4"/>
        <v>127040</v>
      </c>
      <c r="O15" s="37"/>
    </row>
    <row r="16" spans="1:16" ht="13.8" customHeight="1" x14ac:dyDescent="0.25">
      <c r="A16" s="37"/>
      <c r="B16" s="37"/>
      <c r="C16" s="180" t="s">
        <v>11</v>
      </c>
      <c r="D16" s="63"/>
      <c r="E16" s="9"/>
      <c r="F16" s="21"/>
      <c r="G16" s="9">
        <f>ROUNDUP((G14*0.48),-1)</f>
        <v>49490</v>
      </c>
      <c r="H16" s="21">
        <f>ROUNDUP((H14*0.38),-1)</f>
        <v>71900</v>
      </c>
      <c r="I16" s="14">
        <f>ROUNDUP((I14*0.33),-1)</f>
        <v>83330</v>
      </c>
      <c r="J16" s="27">
        <f t="shared" si="4"/>
        <v>101230</v>
      </c>
      <c r="K16" s="14">
        <f t="shared" si="4"/>
        <v>127740</v>
      </c>
      <c r="L16" s="27">
        <f t="shared" si="4"/>
        <v>150750</v>
      </c>
      <c r="M16" s="14">
        <f t="shared" si="4"/>
        <v>171480</v>
      </c>
      <c r="N16" s="27">
        <f t="shared" si="4"/>
        <v>190570</v>
      </c>
      <c r="O16" s="37"/>
    </row>
    <row r="17" spans="1:15" ht="19.8" customHeight="1" x14ac:dyDescent="0.3">
      <c r="A17" s="37"/>
      <c r="B17" s="37"/>
      <c r="C17" s="181" t="s">
        <v>128</v>
      </c>
      <c r="D17" s="181"/>
      <c r="E17" s="178">
        <f t="shared" ref="E17:M17" si="5">E12</f>
        <v>25</v>
      </c>
      <c r="F17" s="179">
        <f t="shared" si="5"/>
        <v>50</v>
      </c>
      <c r="G17" s="178">
        <f t="shared" si="5"/>
        <v>100</v>
      </c>
      <c r="H17" s="179">
        <f t="shared" si="5"/>
        <v>300</v>
      </c>
      <c r="I17" s="178">
        <f t="shared" si="5"/>
        <v>500</v>
      </c>
      <c r="J17" s="179">
        <f t="shared" si="5"/>
        <v>1000</v>
      </c>
      <c r="K17" s="178">
        <f t="shared" si="5"/>
        <v>1500</v>
      </c>
      <c r="L17" s="179">
        <f t="shared" si="5"/>
        <v>2000</v>
      </c>
      <c r="M17" s="178">
        <f t="shared" si="5"/>
        <v>2500</v>
      </c>
      <c r="N17" s="179">
        <f>N12</f>
        <v>3000</v>
      </c>
      <c r="O17" s="37"/>
    </row>
    <row r="18" spans="1:15" ht="13.8" customHeight="1" x14ac:dyDescent="0.25">
      <c r="A18" s="37"/>
      <c r="B18" s="37"/>
      <c r="C18" s="71" t="s">
        <v>82</v>
      </c>
      <c r="D18" s="65"/>
      <c r="E18" s="10"/>
      <c r="F18" s="19">
        <f t="shared" ref="F18:L18" si="6">ROUND(F13*0.65,-2)</f>
        <v>30900</v>
      </c>
      <c r="G18" s="10">
        <f t="shared" si="6"/>
        <v>44700</v>
      </c>
      <c r="H18" s="18">
        <f t="shared" si="6"/>
        <v>82000</v>
      </c>
      <c r="I18" s="10">
        <f t="shared" si="6"/>
        <v>109400</v>
      </c>
      <c r="J18" s="18">
        <f t="shared" si="6"/>
        <v>162400</v>
      </c>
      <c r="K18" s="10">
        <f t="shared" si="6"/>
        <v>205000</v>
      </c>
      <c r="L18" s="19">
        <f t="shared" si="6"/>
        <v>241900</v>
      </c>
      <c r="M18" s="10"/>
      <c r="N18" s="18"/>
      <c r="O18" s="37"/>
    </row>
    <row r="19" spans="1:15" ht="13.8" customHeight="1" x14ac:dyDescent="0.25">
      <c r="A19" s="37"/>
      <c r="B19" s="37"/>
      <c r="C19" s="72" t="s">
        <v>1</v>
      </c>
      <c r="D19" s="69"/>
      <c r="E19" s="15"/>
      <c r="F19" s="24">
        <f>ROUNDUP(F18*0.48,-1)</f>
        <v>14840</v>
      </c>
      <c r="G19" s="15">
        <f>ROUNDUP(G18*0.45,-1)</f>
        <v>20120</v>
      </c>
      <c r="H19" s="24">
        <f>ROUNDUP(H18*0.4,-1)</f>
        <v>32800</v>
      </c>
      <c r="I19" s="11">
        <f>ROUNDUP(I18*0.4,-1)</f>
        <v>43760</v>
      </c>
      <c r="J19" s="22">
        <f>ROUNDUP(J18*0.4,-1)</f>
        <v>64960</v>
      </c>
      <c r="K19" s="11">
        <f>ROUNDUP(K18*0.4,-1)</f>
        <v>82000</v>
      </c>
      <c r="L19" s="22">
        <f>ROUNDUP(L18*0.4,-1)</f>
        <v>96760</v>
      </c>
      <c r="M19" s="11"/>
      <c r="N19" s="22"/>
      <c r="O19" s="37"/>
    </row>
    <row r="20" spans="1:15" ht="19.8" customHeight="1" x14ac:dyDescent="0.3">
      <c r="A20" s="37"/>
      <c r="B20" s="37"/>
      <c r="C20" s="70" t="s">
        <v>129</v>
      </c>
      <c r="D20" s="70"/>
      <c r="E20" s="6">
        <f t="shared" ref="E20:M20" si="7">E12</f>
        <v>25</v>
      </c>
      <c r="F20" s="17">
        <f t="shared" si="7"/>
        <v>50</v>
      </c>
      <c r="G20" s="6">
        <f t="shared" si="7"/>
        <v>100</v>
      </c>
      <c r="H20" s="17">
        <f t="shared" si="7"/>
        <v>300</v>
      </c>
      <c r="I20" s="6">
        <f t="shared" si="7"/>
        <v>500</v>
      </c>
      <c r="J20" s="17">
        <f t="shared" si="7"/>
        <v>1000</v>
      </c>
      <c r="K20" s="6">
        <f t="shared" si="7"/>
        <v>1500</v>
      </c>
      <c r="L20" s="17">
        <f t="shared" si="7"/>
        <v>2000</v>
      </c>
      <c r="M20" s="6">
        <f t="shared" si="7"/>
        <v>2500</v>
      </c>
      <c r="N20" s="17">
        <f>N12</f>
        <v>3000</v>
      </c>
      <c r="O20" s="37"/>
    </row>
    <row r="21" spans="1:15" ht="13.8" customHeight="1" x14ac:dyDescent="0.25">
      <c r="A21" s="37"/>
      <c r="B21" s="37"/>
      <c r="C21" s="64" t="s">
        <v>79</v>
      </c>
      <c r="D21" s="65"/>
      <c r="E21" s="10"/>
      <c r="F21" s="18"/>
      <c r="G21" s="10">
        <f>ROUND(G13*1.692,-2)</f>
        <v>116200</v>
      </c>
      <c r="H21" s="19">
        <f t="shared" ref="H21:N21" si="8">ROUND(H13*1.69,-2)</f>
        <v>213100</v>
      </c>
      <c r="I21" s="7">
        <f t="shared" si="8"/>
        <v>284400</v>
      </c>
      <c r="J21" s="19">
        <f t="shared" si="8"/>
        <v>422300</v>
      </c>
      <c r="K21" s="7">
        <f t="shared" si="8"/>
        <v>533000</v>
      </c>
      <c r="L21" s="19">
        <f t="shared" si="8"/>
        <v>629000</v>
      </c>
      <c r="M21" s="7">
        <f t="shared" si="8"/>
        <v>715500</v>
      </c>
      <c r="N21" s="19">
        <f t="shared" si="8"/>
        <v>795100</v>
      </c>
      <c r="O21" s="37"/>
    </row>
    <row r="22" spans="1:15" ht="13.8" customHeight="1" x14ac:dyDescent="0.25">
      <c r="A22" s="37"/>
      <c r="B22" s="37"/>
      <c r="C22" s="66" t="s">
        <v>81</v>
      </c>
      <c r="D22" s="67"/>
      <c r="E22" s="73"/>
      <c r="F22" s="22"/>
      <c r="G22" s="11"/>
      <c r="H22" s="22">
        <f>ROUND(H14*1.3865,0)</f>
        <v>262326</v>
      </c>
      <c r="I22" s="11">
        <f>ROUND(I14*1.387,0)</f>
        <v>350218</v>
      </c>
      <c r="J22" s="22">
        <f>ROUND(J14*1.3865,0)</f>
        <v>519799</v>
      </c>
      <c r="K22" s="11">
        <f>ROUND(K14*1.3863,0)</f>
        <v>655859</v>
      </c>
      <c r="L22" s="22">
        <f>ROUND(L14*1.3865,0)</f>
        <v>774083</v>
      </c>
      <c r="M22" s="11">
        <f>ROUND(M14*1.3868,0)</f>
        <v>880757</v>
      </c>
      <c r="N22" s="22">
        <f>ROUND(N14*1.3865,0)</f>
        <v>978592</v>
      </c>
      <c r="O22" s="37"/>
    </row>
    <row r="23" spans="1:15" ht="13.8" customHeight="1" x14ac:dyDescent="0.25">
      <c r="A23" s="37"/>
      <c r="B23" s="37"/>
      <c r="C23" s="68" t="s">
        <v>80</v>
      </c>
      <c r="D23" s="74"/>
      <c r="E23" s="73"/>
      <c r="F23" s="28"/>
      <c r="G23" s="12">
        <f>ROUNDUP((G21*0.38),-1)</f>
        <v>44160</v>
      </c>
      <c r="H23" s="23">
        <f>ROUNDUP((H21*0.35),-1)</f>
        <v>74590</v>
      </c>
      <c r="I23" s="13">
        <f>ROUNDUP((I21*0.35),-1)</f>
        <v>99540</v>
      </c>
      <c r="J23" s="26">
        <f>ROUNDUP((J21*0.33),-1)</f>
        <v>139360</v>
      </c>
      <c r="K23" s="13">
        <f>ROUNDUP((K21*0.3),-1)</f>
        <v>159900</v>
      </c>
      <c r="L23" s="26">
        <f>ROUNDUP((L21*0.3),-1)</f>
        <v>188700</v>
      </c>
      <c r="M23" s="13">
        <f>ROUNDUP((M21*0.3),-1)</f>
        <v>214650</v>
      </c>
      <c r="N23" s="26">
        <f>ROUNDUP((N21*0.3),-1)</f>
        <v>238530</v>
      </c>
      <c r="O23" s="37"/>
    </row>
    <row r="24" spans="1:15" ht="13.8" customHeight="1" x14ac:dyDescent="0.25">
      <c r="A24" s="37"/>
      <c r="B24" s="37"/>
      <c r="C24" s="75" t="s">
        <v>11</v>
      </c>
      <c r="D24" s="76"/>
      <c r="E24" s="77"/>
      <c r="F24" s="25"/>
      <c r="G24" s="9"/>
      <c r="H24" s="22">
        <f>ROUNDUP(H16*1.3865,-1)</f>
        <v>99690</v>
      </c>
      <c r="I24" s="11">
        <f>ROUNDUP(I16*1.387,-1)</f>
        <v>115580</v>
      </c>
      <c r="J24" s="22">
        <f>ROUNDUP(J16*1.3865,-1)</f>
        <v>140360</v>
      </c>
      <c r="K24" s="11">
        <f>ROUNDUP(K16*1.3863,-1)</f>
        <v>177090</v>
      </c>
      <c r="L24" s="22">
        <f>ROUNDUP(L16*1.3865,-1)</f>
        <v>209020</v>
      </c>
      <c r="M24" s="11">
        <f>ROUNDUP(M16*1.3868,-1)</f>
        <v>237810</v>
      </c>
      <c r="N24" s="22">
        <f>ROUNDUP(N16*1.3865,-1)</f>
        <v>264230</v>
      </c>
      <c r="O24" s="37"/>
    </row>
    <row r="25" spans="1:15" ht="6" customHeight="1" x14ac:dyDescent="0.25">
      <c r="A25" s="37"/>
      <c r="B25" s="37"/>
      <c r="C25" s="78"/>
      <c r="D25" s="79"/>
      <c r="E25" s="80"/>
      <c r="F25" s="29"/>
      <c r="G25" s="16"/>
      <c r="H25" s="29"/>
      <c r="I25" s="16"/>
      <c r="J25" s="29"/>
      <c r="K25" s="16"/>
      <c r="L25" s="29"/>
      <c r="M25" s="16"/>
      <c r="N25" s="29"/>
      <c r="O25" s="37"/>
    </row>
    <row r="26" spans="1:15" ht="19.8" customHeight="1" x14ac:dyDescent="0.25">
      <c r="A26" s="37"/>
      <c r="B26" s="37"/>
      <c r="C26" s="81" t="s">
        <v>29</v>
      </c>
      <c r="D26" s="82"/>
      <c r="E26" s="206" t="s">
        <v>2</v>
      </c>
      <c r="F26" s="207"/>
      <c r="G26" s="208"/>
      <c r="H26" s="208"/>
      <c r="I26" s="213"/>
      <c r="J26" s="213"/>
      <c r="K26" s="208"/>
      <c r="L26" s="208"/>
      <c r="M26" s="206" t="s">
        <v>2</v>
      </c>
      <c r="N26" s="207"/>
      <c r="O26" s="37"/>
    </row>
    <row r="27" spans="1:15" ht="13.8" customHeight="1" x14ac:dyDescent="0.25">
      <c r="A27" s="37"/>
      <c r="B27" s="37"/>
      <c r="C27" s="83" t="s">
        <v>51</v>
      </c>
      <c r="D27" s="84"/>
      <c r="E27" s="203">
        <v>4100</v>
      </c>
      <c r="F27" s="210"/>
      <c r="G27" s="85"/>
      <c r="H27" s="83" t="s">
        <v>76</v>
      </c>
      <c r="I27" s="86"/>
      <c r="J27" s="86"/>
      <c r="K27" s="86"/>
      <c r="L27" s="86"/>
      <c r="M27" s="203">
        <v>1300</v>
      </c>
      <c r="N27" s="210"/>
      <c r="O27" s="37"/>
    </row>
    <row r="28" spans="1:15" ht="13.8" customHeight="1" x14ac:dyDescent="0.25">
      <c r="A28" s="37"/>
      <c r="B28" s="37"/>
      <c r="C28" s="83" t="s">
        <v>26</v>
      </c>
      <c r="D28" s="84"/>
      <c r="E28" s="203">
        <v>1300</v>
      </c>
      <c r="F28" s="210"/>
      <c r="G28" s="85"/>
      <c r="H28" s="83" t="s">
        <v>121</v>
      </c>
      <c r="I28" s="87"/>
      <c r="J28" s="87"/>
      <c r="K28" s="87"/>
      <c r="L28" s="87"/>
      <c r="M28" s="203">
        <v>6600</v>
      </c>
      <c r="N28" s="215"/>
      <c r="O28" s="37"/>
    </row>
    <row r="29" spans="1:15" ht="13.8" customHeight="1" x14ac:dyDescent="0.25">
      <c r="A29" s="37"/>
      <c r="B29" s="37"/>
      <c r="C29" s="83" t="s">
        <v>25</v>
      </c>
      <c r="D29" s="84"/>
      <c r="E29" s="203">
        <v>900</v>
      </c>
      <c r="F29" s="210"/>
      <c r="G29" s="85"/>
      <c r="H29" s="88" t="s">
        <v>24</v>
      </c>
      <c r="I29" s="89"/>
      <c r="J29" s="89"/>
      <c r="K29" s="89"/>
      <c r="L29" s="89"/>
      <c r="M29" s="203">
        <v>2900</v>
      </c>
      <c r="N29" s="203"/>
      <c r="O29" s="37"/>
    </row>
    <row r="30" spans="1:15" ht="13.8" customHeight="1" x14ac:dyDescent="0.25">
      <c r="A30" s="37"/>
      <c r="B30" s="37"/>
      <c r="C30" s="83" t="s">
        <v>23</v>
      </c>
      <c r="D30" s="84"/>
      <c r="E30" s="203">
        <v>4400</v>
      </c>
      <c r="F30" s="210"/>
      <c r="G30" s="85"/>
      <c r="H30" s="87"/>
      <c r="I30" s="87"/>
      <c r="J30" s="87"/>
      <c r="K30" s="87"/>
      <c r="L30" s="87"/>
      <c r="M30" s="203"/>
      <c r="N30" s="215"/>
      <c r="O30" s="37"/>
    </row>
    <row r="31" spans="1:15" ht="6" customHeight="1" x14ac:dyDescent="0.25">
      <c r="A31" s="37"/>
      <c r="B31" s="37"/>
      <c r="C31" s="160"/>
      <c r="D31" s="161"/>
      <c r="E31" s="157"/>
      <c r="F31" s="162"/>
      <c r="G31" s="158"/>
      <c r="H31" s="163"/>
      <c r="I31" s="163"/>
      <c r="J31" s="163"/>
      <c r="K31" s="163"/>
      <c r="L31" s="163"/>
      <c r="M31" s="162"/>
      <c r="N31" s="162"/>
      <c r="O31" s="37"/>
    </row>
    <row r="32" spans="1:15" ht="19.8" customHeight="1" x14ac:dyDescent="0.25">
      <c r="A32" s="37"/>
      <c r="B32" s="37"/>
      <c r="C32" s="211" t="s">
        <v>77</v>
      </c>
      <c r="D32" s="212"/>
      <c r="E32" s="212"/>
      <c r="F32" s="212"/>
      <c r="G32" s="214"/>
      <c r="H32" s="214"/>
      <c r="I32" s="214"/>
      <c r="J32" s="214"/>
      <c r="K32" s="214"/>
      <c r="L32" s="214"/>
      <c r="M32" s="209"/>
      <c r="N32" s="209"/>
      <c r="O32" s="37"/>
    </row>
    <row r="33" spans="1:15" ht="13.8" customHeight="1" x14ac:dyDescent="0.25">
      <c r="A33" s="37"/>
      <c r="B33" s="37"/>
      <c r="C33" s="201" t="s">
        <v>75</v>
      </c>
      <c r="D33" s="201"/>
      <c r="E33" s="201"/>
      <c r="F33" s="201"/>
      <c r="G33" s="201"/>
      <c r="H33" s="195"/>
      <c r="I33" s="195"/>
      <c r="J33" s="195"/>
      <c r="K33" s="195"/>
      <c r="L33" s="195"/>
      <c r="M33" s="90"/>
      <c r="N33" s="90">
        <v>900</v>
      </c>
      <c r="O33" s="37"/>
    </row>
    <row r="34" spans="1:15" ht="13.8" customHeight="1" x14ac:dyDescent="0.25">
      <c r="A34" s="37"/>
      <c r="B34" s="37"/>
      <c r="C34" s="202" t="s">
        <v>74</v>
      </c>
      <c r="D34" s="202"/>
      <c r="E34" s="202"/>
      <c r="F34" s="202"/>
      <c r="G34" s="202"/>
      <c r="H34" s="194"/>
      <c r="I34" s="194"/>
      <c r="J34" s="194"/>
      <c r="K34" s="194"/>
      <c r="L34" s="194"/>
      <c r="M34" s="203">
        <v>600</v>
      </c>
      <c r="N34" s="203"/>
      <c r="O34" s="37"/>
    </row>
    <row r="35" spans="1:15" ht="6" customHeight="1" x14ac:dyDescent="0.25">
      <c r="A35" s="37"/>
      <c r="B35" s="37"/>
      <c r="C35" s="166"/>
      <c r="D35" s="166"/>
      <c r="E35" s="166"/>
      <c r="F35" s="166"/>
      <c r="G35" s="166"/>
      <c r="H35" s="89"/>
      <c r="I35" s="89"/>
      <c r="J35" s="89"/>
      <c r="K35" s="89"/>
      <c r="L35" s="89"/>
      <c r="M35" s="159"/>
      <c r="N35" s="159"/>
      <c r="O35" s="37"/>
    </row>
    <row r="36" spans="1:15" ht="19.8" customHeight="1" x14ac:dyDescent="0.25">
      <c r="A36" s="37"/>
      <c r="B36" s="37"/>
      <c r="C36" s="167" t="s">
        <v>114</v>
      </c>
      <c r="D36" s="168" t="s">
        <v>115</v>
      </c>
      <c r="E36" s="169"/>
      <c r="F36" s="170"/>
      <c r="G36" s="170"/>
      <c r="H36" s="200"/>
      <c r="I36" s="200"/>
      <c r="J36" s="91"/>
      <c r="K36" s="193" t="s">
        <v>2</v>
      </c>
      <c r="L36" s="193"/>
      <c r="M36" s="193" t="s">
        <v>116</v>
      </c>
      <c r="N36" s="193"/>
      <c r="O36" s="37"/>
    </row>
    <row r="37" spans="1:15" ht="13.8" customHeight="1" x14ac:dyDescent="0.25">
      <c r="A37" s="37"/>
      <c r="B37" s="37"/>
      <c r="C37" s="171" t="s">
        <v>117</v>
      </c>
      <c r="D37" s="172" t="s">
        <v>118</v>
      </c>
      <c r="E37" s="173"/>
      <c r="F37" s="174"/>
      <c r="G37" s="174"/>
      <c r="H37" s="92"/>
      <c r="I37" s="92"/>
      <c r="J37" s="92"/>
      <c r="K37" s="204">
        <v>49000</v>
      </c>
      <c r="L37" s="204"/>
      <c r="M37" s="204">
        <v>9900</v>
      </c>
      <c r="N37" s="204"/>
      <c r="O37" s="37"/>
    </row>
    <row r="38" spans="1:15" ht="6" customHeight="1" x14ac:dyDescent="0.25">
      <c r="A38" s="37"/>
      <c r="B38" s="37"/>
      <c r="C38" s="160"/>
      <c r="D38" s="161"/>
      <c r="E38" s="164"/>
      <c r="F38" s="165"/>
      <c r="G38" s="158"/>
      <c r="H38" s="158"/>
      <c r="I38" s="158"/>
      <c r="J38" s="158"/>
      <c r="K38" s="205"/>
      <c r="L38" s="205"/>
      <c r="M38" s="157"/>
      <c r="N38" s="162"/>
      <c r="O38" s="37"/>
    </row>
    <row r="39" spans="1:15" ht="13.8" customHeight="1" x14ac:dyDescent="0.3">
      <c r="A39" s="37"/>
      <c r="B39" s="37"/>
      <c r="C39" s="198" t="s">
        <v>48</v>
      </c>
      <c r="D39" s="199"/>
      <c r="E39" s="199"/>
      <c r="F39" s="199"/>
      <c r="G39" s="199"/>
      <c r="H39" s="199"/>
      <c r="I39" s="199"/>
      <c r="J39" s="91"/>
      <c r="K39" s="193"/>
      <c r="L39" s="193"/>
      <c r="M39" s="193" t="s">
        <v>49</v>
      </c>
      <c r="N39" s="193"/>
      <c r="O39" s="37"/>
    </row>
    <row r="40" spans="1:15" ht="13.8" customHeight="1" x14ac:dyDescent="0.25">
      <c r="A40" s="37"/>
      <c r="B40" s="37"/>
      <c r="C40" s="196" t="s">
        <v>27</v>
      </c>
      <c r="D40" s="196"/>
      <c r="E40" s="197"/>
      <c r="F40" s="197"/>
      <c r="G40" s="197"/>
      <c r="H40" s="197"/>
      <c r="I40" s="197"/>
      <c r="J40" s="93"/>
      <c r="K40" s="218" t="s">
        <v>162</v>
      </c>
      <c r="L40" s="219"/>
      <c r="M40" s="219"/>
      <c r="N40" s="219"/>
      <c r="O40" s="37"/>
    </row>
    <row r="41" spans="1:15" ht="13.8" customHeight="1" x14ac:dyDescent="0.25">
      <c r="A41" s="37"/>
      <c r="B41" s="37"/>
      <c r="C41" s="187" t="s">
        <v>157</v>
      </c>
      <c r="D41" s="187"/>
      <c r="E41" s="188"/>
      <c r="F41" s="188"/>
      <c r="G41" s="188"/>
      <c r="H41" s="188"/>
      <c r="I41" s="188"/>
      <c r="J41" s="189"/>
      <c r="K41" s="222">
        <v>3300</v>
      </c>
      <c r="L41" s="223"/>
      <c r="M41" s="223"/>
      <c r="N41" s="223"/>
      <c r="O41" s="37"/>
    </row>
    <row r="42" spans="1:15" ht="13.8" customHeight="1" x14ac:dyDescent="0.25">
      <c r="A42" s="37"/>
      <c r="B42" s="37"/>
      <c r="C42" s="224" t="s">
        <v>66</v>
      </c>
      <c r="D42" s="224"/>
      <c r="E42" s="225"/>
      <c r="F42" s="225"/>
      <c r="G42" s="225"/>
      <c r="H42" s="225"/>
      <c r="I42" s="225"/>
      <c r="J42" s="92"/>
      <c r="K42" s="226" t="s">
        <v>30</v>
      </c>
      <c r="L42" s="223"/>
      <c r="M42" s="223"/>
      <c r="N42" s="223"/>
      <c r="O42" s="37"/>
    </row>
    <row r="43" spans="1:15" ht="13.8" customHeight="1" x14ac:dyDescent="0.25">
      <c r="A43" s="37"/>
      <c r="B43" s="37"/>
      <c r="C43" s="224" t="s">
        <v>125</v>
      </c>
      <c r="D43" s="224"/>
      <c r="E43" s="225"/>
      <c r="F43" s="225"/>
      <c r="G43" s="225"/>
      <c r="H43" s="225"/>
      <c r="I43" s="225"/>
      <c r="J43" s="92"/>
      <c r="K43" s="222">
        <v>0</v>
      </c>
      <c r="L43" s="223"/>
      <c r="M43" s="223"/>
      <c r="N43" s="223"/>
      <c r="O43" s="37"/>
    </row>
    <row r="44" spans="1:15" ht="13.8" customHeight="1" x14ac:dyDescent="0.25">
      <c r="A44" s="37"/>
      <c r="B44" s="37"/>
      <c r="C44" s="224" t="s">
        <v>19</v>
      </c>
      <c r="D44" s="224"/>
      <c r="E44" s="225"/>
      <c r="F44" s="225"/>
      <c r="G44" s="225"/>
      <c r="H44" s="225"/>
      <c r="I44" s="225"/>
      <c r="J44" s="92"/>
      <c r="K44" s="226" t="s">
        <v>156</v>
      </c>
      <c r="L44" s="223"/>
      <c r="M44" s="223"/>
      <c r="N44" s="223"/>
      <c r="O44" s="37"/>
    </row>
    <row r="45" spans="1:15" ht="13.8" customHeight="1" x14ac:dyDescent="0.25">
      <c r="A45" s="37"/>
      <c r="B45" s="37"/>
      <c r="C45" s="224" t="s">
        <v>8</v>
      </c>
      <c r="D45" s="224"/>
      <c r="E45" s="225"/>
      <c r="F45" s="225"/>
      <c r="G45" s="225"/>
      <c r="H45" s="225"/>
      <c r="I45" s="225"/>
      <c r="J45" s="92"/>
      <c r="K45" s="222">
        <v>500</v>
      </c>
      <c r="L45" s="223"/>
      <c r="M45" s="223"/>
      <c r="N45" s="223"/>
      <c r="O45" s="37"/>
    </row>
    <row r="46" spans="1:15" ht="13.8" customHeight="1" x14ac:dyDescent="0.25">
      <c r="A46" s="37"/>
      <c r="B46" s="37"/>
      <c r="C46" s="216" t="s">
        <v>9</v>
      </c>
      <c r="D46" s="216"/>
      <c r="E46" s="217"/>
      <c r="F46" s="217"/>
      <c r="G46" s="217"/>
      <c r="H46" s="217"/>
      <c r="I46" s="217"/>
      <c r="J46" s="94"/>
      <c r="K46" s="220" t="s">
        <v>163</v>
      </c>
      <c r="L46" s="221"/>
      <c r="M46" s="221"/>
      <c r="N46" s="221"/>
      <c r="O46" s="37"/>
    </row>
    <row r="47" spans="1:15" ht="13.8" customHeight="1" x14ac:dyDescent="0.25">
      <c r="A47" s="37"/>
      <c r="O47" s="37"/>
    </row>
    <row r="48" spans="1:15" ht="13.8" customHeight="1" x14ac:dyDescent="0.25">
      <c r="A48" s="37"/>
      <c r="O48" s="37"/>
    </row>
    <row r="49" spans="1:15" ht="13.8" customHeight="1" x14ac:dyDescent="0.25">
      <c r="A49" s="37"/>
      <c r="O49" s="37"/>
    </row>
    <row r="50" spans="1:15" ht="13.8" customHeight="1" x14ac:dyDescent="0.25">
      <c r="A50" s="37"/>
      <c r="O50" s="37"/>
    </row>
    <row r="51" spans="1:15" ht="13.8" customHeight="1" x14ac:dyDescent="0.25">
      <c r="A51" s="37"/>
      <c r="O51" s="37"/>
    </row>
    <row r="52" spans="1:15" ht="13.8" customHeight="1" x14ac:dyDescent="0.25">
      <c r="A52" s="37"/>
      <c r="O52" s="37"/>
    </row>
    <row r="53" spans="1:15" ht="13.8" customHeight="1" x14ac:dyDescent="0.25">
      <c r="A53" s="37"/>
      <c r="O53" s="37"/>
    </row>
    <row r="54" spans="1:15" ht="13.8" customHeight="1" x14ac:dyDescent="0.25">
      <c r="A54" s="37"/>
      <c r="O54" s="37"/>
    </row>
    <row r="55" spans="1:15" ht="13.8" customHeight="1" x14ac:dyDescent="0.25">
      <c r="A55" s="37"/>
      <c r="O55" s="37"/>
    </row>
    <row r="56" spans="1:15" ht="13.8" customHeight="1" x14ac:dyDescent="0.25">
      <c r="A56" s="37"/>
      <c r="O56" s="37"/>
    </row>
    <row r="57" spans="1:15" ht="13.8" customHeight="1" x14ac:dyDescent="0.25">
      <c r="A57" s="37"/>
      <c r="O57" s="37"/>
    </row>
    <row r="58" spans="1:15" ht="13.8" customHeight="1" x14ac:dyDescent="0.25">
      <c r="A58" s="37"/>
      <c r="O58" s="37"/>
    </row>
    <row r="59" spans="1:15" ht="13.8" customHeight="1" x14ac:dyDescent="0.25">
      <c r="A59" s="37"/>
      <c r="O59" s="37"/>
    </row>
    <row r="60" spans="1:15" ht="13.8" customHeight="1" x14ac:dyDescent="0.25">
      <c r="A60" s="37"/>
      <c r="O60" s="37"/>
    </row>
    <row r="61" spans="1:15" ht="13.8" customHeight="1" x14ac:dyDescent="0.25">
      <c r="A61" s="37"/>
      <c r="O61" s="37"/>
    </row>
    <row r="62" spans="1:15" ht="13.8" customHeight="1" x14ac:dyDescent="0.25">
      <c r="A62" s="37"/>
      <c r="O62" s="37"/>
    </row>
    <row r="63" spans="1:15" ht="13.8" customHeight="1" x14ac:dyDescent="0.25">
      <c r="A63" s="37"/>
      <c r="O63" s="37"/>
    </row>
    <row r="64" spans="1:15" ht="13.8" customHeight="1" x14ac:dyDescent="0.25">
      <c r="A64" s="37"/>
      <c r="O64" s="37"/>
    </row>
    <row r="65" spans="1:15" ht="13.8" customHeight="1" x14ac:dyDescent="0.25">
      <c r="A65" s="37"/>
      <c r="O65" s="37"/>
    </row>
    <row r="66" spans="1:15" ht="13.8" customHeight="1" x14ac:dyDescent="0.25">
      <c r="A66" s="37"/>
      <c r="O66" s="37"/>
    </row>
    <row r="67" spans="1:15" ht="13.8" customHeight="1" x14ac:dyDescent="0.25">
      <c r="A67" s="37"/>
      <c r="O67" s="37"/>
    </row>
    <row r="68" spans="1:15" ht="13.8" customHeight="1" x14ac:dyDescent="0.25"/>
    <row r="69" spans="1:15" ht="13.8" customHeight="1" x14ac:dyDescent="0.25"/>
    <row r="70" spans="1:15" ht="13.8" customHeight="1" x14ac:dyDescent="0.25"/>
    <row r="71" spans="1:15" ht="13.8" customHeight="1" x14ac:dyDescent="0.25"/>
    <row r="72" spans="1:15" ht="13.8" customHeight="1" x14ac:dyDescent="0.25"/>
    <row r="73" spans="1:15" s="35" customFormat="1" ht="26.25" customHeight="1" x14ac:dyDescent="0.3">
      <c r="A73" s="58"/>
      <c r="B73" s="58"/>
      <c r="C73" s="138" t="s">
        <v>31</v>
      </c>
      <c r="D73" s="100"/>
      <c r="E73" s="100"/>
      <c r="F73" s="101"/>
      <c r="G73" s="101"/>
      <c r="H73" s="101"/>
      <c r="I73" s="101"/>
      <c r="J73" s="101"/>
      <c r="K73" s="101"/>
      <c r="L73" s="101"/>
      <c r="M73" s="102"/>
      <c r="N73" s="103" t="s">
        <v>171</v>
      </c>
      <c r="O73" s="58"/>
    </row>
    <row r="74" spans="1:15" ht="12.75" customHeight="1" x14ac:dyDescent="0.25">
      <c r="A74" s="37"/>
      <c r="B74" s="37"/>
      <c r="C74" s="104" t="s">
        <v>134</v>
      </c>
      <c r="D74" s="105"/>
      <c r="E74" s="105"/>
      <c r="F74" s="106"/>
      <c r="G74" s="106"/>
      <c r="H74" s="106"/>
      <c r="I74" s="106"/>
      <c r="J74" s="106"/>
      <c r="K74" s="106"/>
      <c r="L74" s="106"/>
      <c r="M74" s="107"/>
      <c r="N74" s="108" t="s">
        <v>10</v>
      </c>
      <c r="O74" s="37"/>
    </row>
    <row r="75" spans="1:15" ht="12.75" customHeight="1" x14ac:dyDescent="0.25">
      <c r="A75" s="37"/>
      <c r="B75" s="37"/>
      <c r="C75" s="109" t="s">
        <v>28</v>
      </c>
      <c r="D75" s="105"/>
      <c r="E75" s="105"/>
      <c r="F75" s="106"/>
      <c r="G75" s="106"/>
      <c r="H75" s="106"/>
      <c r="I75" s="106"/>
      <c r="J75" s="106"/>
      <c r="K75" s="106"/>
      <c r="L75" s="106"/>
      <c r="M75" s="107"/>
      <c r="N75" s="108" t="s">
        <v>63</v>
      </c>
      <c r="O75" s="37"/>
    </row>
    <row r="79" spans="1:15" x14ac:dyDescent="0.25">
      <c r="M79" s="1"/>
    </row>
  </sheetData>
  <sheetProtection algorithmName="SHA-512" hashValue="fViabePGPGUOIlKBUtoQfydPBESb2WSoidLMeEwaZovOmBS5lYgV0toh+kQCrsUaxMw+/sXwtKvGyQWCm9ebbA==" saltValue="jomEuF8rUSrEFzfF0xoLTw==" spinCount="100000" sheet="1" selectLockedCells="1" selectUnlockedCells="1"/>
  <mergeCells count="43">
    <mergeCell ref="C46:I46"/>
    <mergeCell ref="K40:N40"/>
    <mergeCell ref="K46:N46"/>
    <mergeCell ref="K45:N45"/>
    <mergeCell ref="C42:I42"/>
    <mergeCell ref="C43:I43"/>
    <mergeCell ref="K43:N43"/>
    <mergeCell ref="C45:I45"/>
    <mergeCell ref="K44:N44"/>
    <mergeCell ref="C44:I44"/>
    <mergeCell ref="K42:N42"/>
    <mergeCell ref="K41:N41"/>
    <mergeCell ref="E26:F26"/>
    <mergeCell ref="G26:H26"/>
    <mergeCell ref="M32:N32"/>
    <mergeCell ref="E27:F27"/>
    <mergeCell ref="K26:L26"/>
    <mergeCell ref="C32:F32"/>
    <mergeCell ref="I26:J26"/>
    <mergeCell ref="E28:F28"/>
    <mergeCell ref="E29:F29"/>
    <mergeCell ref="M26:N26"/>
    <mergeCell ref="G32:L32"/>
    <mergeCell ref="M28:N28"/>
    <mergeCell ref="M29:N29"/>
    <mergeCell ref="E30:F30"/>
    <mergeCell ref="M27:N27"/>
    <mergeCell ref="M30:N30"/>
    <mergeCell ref="M39:N39"/>
    <mergeCell ref="K39:L39"/>
    <mergeCell ref="H34:L34"/>
    <mergeCell ref="H33:L33"/>
    <mergeCell ref="C40:I40"/>
    <mergeCell ref="C39:I39"/>
    <mergeCell ref="H36:I36"/>
    <mergeCell ref="K36:L36"/>
    <mergeCell ref="C33:G33"/>
    <mergeCell ref="C34:G34"/>
    <mergeCell ref="M34:N34"/>
    <mergeCell ref="M36:N36"/>
    <mergeCell ref="K37:L37"/>
    <mergeCell ref="M37:N37"/>
    <mergeCell ref="K38:L38"/>
  </mergeCells>
  <phoneticPr fontId="0" type="noConversion"/>
  <printOptions horizontalCentered="1" verticalCentered="1"/>
  <pageMargins left="0.23622047244094491" right="0.15748031496062992" top="0.15748031496062992" bottom="0.15748031496062992" header="0.35433070866141736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tabSelected="1" showRuler="0" zoomScale="110" zoomScaleNormal="110" zoomScaleSheetLayoutView="100" workbookViewId="0">
      <selection activeCell="W28" sqref="W28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41.44140625" style="4" customWidth="1"/>
    <col min="4" max="13" width="7.77734375" style="2" customWidth="1"/>
    <col min="14" max="14" width="7.109375" style="1" customWidth="1"/>
    <col min="15" max="15" width="0.44140625" style="1" customWidth="1"/>
    <col min="16" max="16384" width="9.109375" style="1"/>
  </cols>
  <sheetData>
    <row r="1" spans="1:15" s="5" customFormat="1" ht="6.75" customHeight="1" x14ac:dyDescent="0.25">
      <c r="A1" s="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</row>
    <row r="2" spans="1:15" ht="9.75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9.15" customHeight="1" x14ac:dyDescent="0.35">
      <c r="B3" s="45"/>
      <c r="C3" s="45"/>
      <c r="D3" s="45"/>
      <c r="E3" s="45"/>
      <c r="F3" s="46"/>
      <c r="G3" s="45"/>
      <c r="H3" s="45"/>
      <c r="I3" s="45"/>
      <c r="J3" s="45"/>
      <c r="K3" s="45"/>
      <c r="L3" s="45"/>
      <c r="M3" s="45"/>
      <c r="N3" s="45"/>
    </row>
    <row r="4" spans="1:15" ht="3.75" customHeight="1" x14ac:dyDescent="0.25">
      <c r="B4" s="45"/>
      <c r="C4" s="45"/>
      <c r="D4" s="45"/>
      <c r="E4" s="45"/>
      <c r="F4" s="47"/>
      <c r="H4" s="48"/>
      <c r="I4" s="48"/>
      <c r="J4" s="48"/>
      <c r="K4" s="48"/>
      <c r="L4" s="48"/>
      <c r="M4" s="48"/>
      <c r="N4" s="49"/>
    </row>
    <row r="5" spans="1:15" ht="15.15" customHeight="1" x14ac:dyDescent="0.25">
      <c r="B5" s="45"/>
      <c r="C5" s="45"/>
      <c r="D5" s="45"/>
      <c r="E5" s="186">
        <f>1.038*1.151*1.107*1.024</f>
        <v>1.3543167651840002</v>
      </c>
      <c r="F5" s="45"/>
      <c r="G5" s="48"/>
      <c r="H5" s="48"/>
      <c r="I5" s="48"/>
      <c r="J5" s="48"/>
      <c r="K5" s="48"/>
      <c r="L5" s="48"/>
      <c r="M5" s="50" t="s">
        <v>62</v>
      </c>
    </row>
    <row r="6" spans="1:15" ht="9.15" customHeight="1" x14ac:dyDescent="0.25">
      <c r="B6" s="45"/>
      <c r="C6" s="45"/>
      <c r="D6" s="45"/>
      <c r="E6" s="45"/>
      <c r="F6" s="45"/>
      <c r="G6" s="48"/>
      <c r="H6" s="48"/>
      <c r="I6" s="48"/>
      <c r="J6" s="48"/>
      <c r="K6" s="48"/>
      <c r="L6" s="48"/>
      <c r="M6" s="48"/>
      <c r="N6" s="49"/>
    </row>
    <row r="7" spans="1:15" ht="9.15" customHeight="1" x14ac:dyDescent="0.25">
      <c r="B7" s="45"/>
      <c r="C7" s="45"/>
      <c r="D7" s="45"/>
      <c r="E7" s="45"/>
      <c r="F7" s="45"/>
      <c r="G7" s="45"/>
      <c r="H7" s="51"/>
      <c r="I7" s="45"/>
      <c r="J7" s="45"/>
      <c r="K7" s="45"/>
      <c r="L7" s="45"/>
      <c r="M7" s="45"/>
      <c r="N7" s="49"/>
    </row>
    <row r="8" spans="1:15" s="3" customFormat="1" ht="9.15" customHeight="1" x14ac:dyDescent="0.25">
      <c r="A8" s="1"/>
      <c r="C8" s="52"/>
      <c r="D8" s="45"/>
      <c r="E8" s="53"/>
      <c r="F8" s="53"/>
      <c r="G8" s="53"/>
      <c r="H8" s="2" t="s">
        <v>0</v>
      </c>
      <c r="I8" s="53"/>
      <c r="J8" s="53"/>
      <c r="K8" s="53"/>
      <c r="L8" s="53"/>
      <c r="M8" s="53"/>
      <c r="O8" s="1"/>
    </row>
    <row r="9" spans="1:15" ht="20.100000000000001" customHeight="1" x14ac:dyDescent="0.25">
      <c r="C9" s="110" t="s">
        <v>12</v>
      </c>
      <c r="D9" s="111">
        <f>'FLUXPAM 5'!E$9</f>
        <v>25</v>
      </c>
      <c r="E9" s="112">
        <f>'FLUXPAM 5'!F$9</f>
        <v>50</v>
      </c>
      <c r="F9" s="111">
        <f>'FLUXPAM 5'!G$9</f>
        <v>100</v>
      </c>
      <c r="G9" s="112">
        <f>'FLUXPAM 5'!H$9</f>
        <v>300</v>
      </c>
      <c r="H9" s="111">
        <f>'FLUXPAM 5'!I$9</f>
        <v>500</v>
      </c>
      <c r="I9" s="113">
        <f>'FLUXPAM 5'!J$9</f>
        <v>1000</v>
      </c>
      <c r="J9" s="114">
        <f>'FLUXPAM 5'!K$9</f>
        <v>1500</v>
      </c>
      <c r="K9" s="113">
        <f>'FLUXPAM 5'!L$9</f>
        <v>2000</v>
      </c>
      <c r="L9" s="114">
        <f>'FLUXPAM 5'!M$9</f>
        <v>2500</v>
      </c>
      <c r="M9" s="113">
        <f>'FLUXPAM 5'!N$9</f>
        <v>3000</v>
      </c>
    </row>
    <row r="10" spans="1:15" ht="13.8" customHeight="1" x14ac:dyDescent="0.25">
      <c r="C10" s="115" t="s">
        <v>32</v>
      </c>
      <c r="D10" s="116">
        <f t="shared" ref="D10:K10" si="0">ROUND(1800+((7*D9)^(1/1.23)*50)*1.5*$E$5,-2)</f>
        <v>8600</v>
      </c>
      <c r="E10" s="117">
        <f t="shared" si="0"/>
        <v>13700</v>
      </c>
      <c r="F10" s="116">
        <f t="shared" si="0"/>
        <v>22700</v>
      </c>
      <c r="G10" s="117">
        <f t="shared" si="0"/>
        <v>52800</v>
      </c>
      <c r="H10" s="116">
        <f t="shared" si="0"/>
        <v>79100</v>
      </c>
      <c r="I10" s="117">
        <f t="shared" si="0"/>
        <v>137600</v>
      </c>
      <c r="J10" s="116">
        <f t="shared" si="0"/>
        <v>190600</v>
      </c>
      <c r="K10" s="117">
        <f t="shared" si="0"/>
        <v>240400</v>
      </c>
      <c r="L10" s="116"/>
      <c r="M10" s="117"/>
    </row>
    <row r="11" spans="1:15" ht="13.8" customHeight="1" x14ac:dyDescent="0.25">
      <c r="C11" s="118" t="s">
        <v>33</v>
      </c>
      <c r="D11" s="119">
        <f t="shared" ref="D11:K11" si="1">ROUNDUP(D$10/4,-1)</f>
        <v>2150</v>
      </c>
      <c r="E11" s="120">
        <f t="shared" si="1"/>
        <v>3430</v>
      </c>
      <c r="F11" s="119">
        <f t="shared" si="1"/>
        <v>5680</v>
      </c>
      <c r="G11" s="120">
        <f t="shared" si="1"/>
        <v>13200</v>
      </c>
      <c r="H11" s="119">
        <f t="shared" si="1"/>
        <v>19780</v>
      </c>
      <c r="I11" s="120">
        <f t="shared" si="1"/>
        <v>34400</v>
      </c>
      <c r="J11" s="119">
        <f t="shared" si="1"/>
        <v>47650</v>
      </c>
      <c r="K11" s="120">
        <f t="shared" si="1"/>
        <v>60100</v>
      </c>
      <c r="L11" s="119"/>
      <c r="M11" s="120"/>
    </row>
    <row r="12" spans="1:15" ht="13.8" customHeight="1" x14ac:dyDescent="0.25">
      <c r="C12" s="121" t="s">
        <v>34</v>
      </c>
      <c r="D12" s="119"/>
      <c r="E12" s="120"/>
      <c r="F12" s="119">
        <f>ROUNDUP(1800+((7*F9)^(1/1.23)*50)*3*$E$5,-2)</f>
        <v>43600</v>
      </c>
      <c r="G12" s="120">
        <f t="shared" ref="G12:M12" si="2">ROUND(1800+((7*G9)^(1/1.23)*50)*3*$E$5,-2)</f>
        <v>103800</v>
      </c>
      <c r="H12" s="119">
        <f t="shared" si="2"/>
        <v>156400</v>
      </c>
      <c r="I12" s="120">
        <f t="shared" si="2"/>
        <v>273400</v>
      </c>
      <c r="J12" s="119">
        <f t="shared" si="2"/>
        <v>379400</v>
      </c>
      <c r="K12" s="120">
        <f t="shared" si="2"/>
        <v>478900</v>
      </c>
      <c r="L12" s="119">
        <f t="shared" si="2"/>
        <v>573900</v>
      </c>
      <c r="M12" s="120">
        <f t="shared" si="2"/>
        <v>665300</v>
      </c>
    </row>
    <row r="13" spans="1:15" ht="13.8" customHeight="1" x14ac:dyDescent="0.25">
      <c r="C13" s="76" t="s">
        <v>35</v>
      </c>
      <c r="D13" s="122"/>
      <c r="E13" s="123"/>
      <c r="F13" s="122">
        <f t="shared" ref="F13:M13" si="3">ROUNDUP(F$12/4,-1)</f>
        <v>10900</v>
      </c>
      <c r="G13" s="123">
        <f t="shared" si="3"/>
        <v>25950</v>
      </c>
      <c r="H13" s="122">
        <f t="shared" si="3"/>
        <v>39100</v>
      </c>
      <c r="I13" s="123">
        <f t="shared" si="3"/>
        <v>68350</v>
      </c>
      <c r="J13" s="122">
        <f t="shared" si="3"/>
        <v>94850</v>
      </c>
      <c r="K13" s="123">
        <f t="shared" si="3"/>
        <v>119730</v>
      </c>
      <c r="L13" s="122">
        <f t="shared" si="3"/>
        <v>143480</v>
      </c>
      <c r="M13" s="123">
        <f t="shared" si="3"/>
        <v>166330</v>
      </c>
    </row>
    <row r="14" spans="1:15" ht="19.8" customHeight="1" x14ac:dyDescent="0.25">
      <c r="C14" s="146" t="s">
        <v>13</v>
      </c>
      <c r="D14" s="112">
        <f>'FLUXPAM 5'!E$9</f>
        <v>25</v>
      </c>
      <c r="E14" s="151">
        <f>'FLUXPAM 5'!F$9</f>
        <v>50</v>
      </c>
      <c r="F14" s="112">
        <f>'FLUXPAM 5'!G$9</f>
        <v>100</v>
      </c>
      <c r="G14" s="151">
        <f>'FLUXPAM 5'!H$9</f>
        <v>300</v>
      </c>
      <c r="H14" s="112">
        <f>'FLUXPAM 5'!I$9</f>
        <v>500</v>
      </c>
      <c r="I14" s="154">
        <f>'FLUXPAM 5'!J$9</f>
        <v>1000</v>
      </c>
      <c r="J14" s="113">
        <f>'FLUXPAM 5'!K$9</f>
        <v>1500</v>
      </c>
      <c r="K14" s="154">
        <f>'FLUXPAM 5'!L$9</f>
        <v>2000</v>
      </c>
      <c r="L14" s="113">
        <f>'FLUXPAM 5'!M$9</f>
        <v>2500</v>
      </c>
      <c r="M14" s="154">
        <f>'FLUXPAM 5'!N$9</f>
        <v>3000</v>
      </c>
    </row>
    <row r="15" spans="1:15" ht="13.8" customHeight="1" x14ac:dyDescent="0.25">
      <c r="C15" s="147" t="s">
        <v>93</v>
      </c>
      <c r="D15" s="117">
        <f t="shared" ref="D15:M15" si="4">ROUND((1.9+(1.1*D$14)^(1/2.2))*700*$E$5,-2)</f>
        <v>6100</v>
      </c>
      <c r="E15" s="145">
        <f t="shared" si="4"/>
        <v>7700</v>
      </c>
      <c r="F15" s="117">
        <f t="shared" si="4"/>
        <v>9800</v>
      </c>
      <c r="G15" s="145">
        <f t="shared" si="4"/>
        <v>15000</v>
      </c>
      <c r="H15" s="117">
        <f t="shared" si="4"/>
        <v>18500</v>
      </c>
      <c r="I15" s="145">
        <f t="shared" si="4"/>
        <v>24700</v>
      </c>
      <c r="J15" s="117">
        <f t="shared" si="4"/>
        <v>29300</v>
      </c>
      <c r="K15" s="145">
        <f t="shared" si="4"/>
        <v>33100</v>
      </c>
      <c r="L15" s="117">
        <f t="shared" si="4"/>
        <v>36500</v>
      </c>
      <c r="M15" s="145">
        <f t="shared" si="4"/>
        <v>39500</v>
      </c>
    </row>
    <row r="16" spans="1:15" ht="13.8" customHeight="1" x14ac:dyDescent="0.25">
      <c r="C16" s="148" t="s">
        <v>94</v>
      </c>
      <c r="D16" s="120">
        <f t="shared" ref="D16:M16" si="5">ROUNDUP(D15/5,-1)</f>
        <v>1220</v>
      </c>
      <c r="E16" s="152">
        <f t="shared" si="5"/>
        <v>1540</v>
      </c>
      <c r="F16" s="120">
        <f t="shared" si="5"/>
        <v>1960</v>
      </c>
      <c r="G16" s="152">
        <f t="shared" si="5"/>
        <v>3000</v>
      </c>
      <c r="H16" s="120">
        <f t="shared" si="5"/>
        <v>3700</v>
      </c>
      <c r="I16" s="152">
        <f t="shared" si="5"/>
        <v>4940</v>
      </c>
      <c r="J16" s="120">
        <f t="shared" si="5"/>
        <v>5860</v>
      </c>
      <c r="K16" s="152">
        <f t="shared" si="5"/>
        <v>6620</v>
      </c>
      <c r="L16" s="120">
        <f t="shared" si="5"/>
        <v>7300</v>
      </c>
      <c r="M16" s="152">
        <f t="shared" si="5"/>
        <v>7900</v>
      </c>
    </row>
    <row r="17" spans="3:13" ht="13.8" customHeight="1" x14ac:dyDescent="0.25">
      <c r="C17" s="149" t="s">
        <v>119</v>
      </c>
      <c r="D17" s="120">
        <f t="shared" ref="D17:M17" si="6">ROUND((1+(1.1*D$14)^(1/2))*500*$E$5,-2)</f>
        <v>4200</v>
      </c>
      <c r="E17" s="152">
        <f t="shared" si="6"/>
        <v>5700</v>
      </c>
      <c r="F17" s="120">
        <f t="shared" si="6"/>
        <v>7800</v>
      </c>
      <c r="G17" s="152">
        <f t="shared" si="6"/>
        <v>13000</v>
      </c>
      <c r="H17" s="120">
        <f t="shared" si="6"/>
        <v>16600</v>
      </c>
      <c r="I17" s="152">
        <f t="shared" si="6"/>
        <v>23100</v>
      </c>
      <c r="J17" s="120">
        <f t="shared" si="6"/>
        <v>28200</v>
      </c>
      <c r="K17" s="152">
        <f t="shared" si="6"/>
        <v>32400</v>
      </c>
      <c r="L17" s="120">
        <f t="shared" si="6"/>
        <v>36200</v>
      </c>
      <c r="M17" s="152">
        <f t="shared" si="6"/>
        <v>39600</v>
      </c>
    </row>
    <row r="18" spans="3:13" ht="13.8" customHeight="1" x14ac:dyDescent="0.25">
      <c r="C18" s="148" t="s">
        <v>120</v>
      </c>
      <c r="D18" s="120">
        <f t="shared" ref="D18:M18" si="7">ROUNDUP(D17/5,-1)</f>
        <v>840</v>
      </c>
      <c r="E18" s="152">
        <f t="shared" si="7"/>
        <v>1140</v>
      </c>
      <c r="F18" s="120">
        <f t="shared" si="7"/>
        <v>1560</v>
      </c>
      <c r="G18" s="152">
        <f t="shared" si="7"/>
        <v>2600</v>
      </c>
      <c r="H18" s="120">
        <f t="shared" si="7"/>
        <v>3320</v>
      </c>
      <c r="I18" s="152">
        <f t="shared" si="7"/>
        <v>4620</v>
      </c>
      <c r="J18" s="120">
        <f t="shared" si="7"/>
        <v>5640</v>
      </c>
      <c r="K18" s="152">
        <f t="shared" si="7"/>
        <v>6480</v>
      </c>
      <c r="L18" s="120">
        <f t="shared" si="7"/>
        <v>7240</v>
      </c>
      <c r="M18" s="152">
        <f t="shared" si="7"/>
        <v>7920</v>
      </c>
    </row>
    <row r="19" spans="3:13" ht="13.8" customHeight="1" x14ac:dyDescent="0.25">
      <c r="C19" s="149" t="s">
        <v>14</v>
      </c>
      <c r="D19" s="120">
        <f t="shared" ref="D19:M19" si="8">ROUND((1+(1.1*D$14)^(1/1.75))*700*$E$5,-2)</f>
        <v>7200</v>
      </c>
      <c r="E19" s="152">
        <f t="shared" si="8"/>
        <v>10300</v>
      </c>
      <c r="F19" s="120">
        <f t="shared" si="8"/>
        <v>14900</v>
      </c>
      <c r="G19" s="152">
        <f t="shared" si="8"/>
        <v>27000</v>
      </c>
      <c r="H19" s="120">
        <f t="shared" si="8"/>
        <v>35800</v>
      </c>
      <c r="I19" s="152">
        <f t="shared" si="8"/>
        <v>52800</v>
      </c>
      <c r="J19" s="120">
        <f t="shared" si="8"/>
        <v>66300</v>
      </c>
      <c r="K19" s="152">
        <f t="shared" si="8"/>
        <v>78000</v>
      </c>
      <c r="L19" s="120">
        <f t="shared" si="8"/>
        <v>88500</v>
      </c>
      <c r="M19" s="152">
        <f t="shared" si="8"/>
        <v>98100</v>
      </c>
    </row>
    <row r="20" spans="3:13" ht="13.8" customHeight="1" x14ac:dyDescent="0.25">
      <c r="C20" s="148" t="s">
        <v>41</v>
      </c>
      <c r="D20" s="120">
        <f t="shared" ref="D20:M20" si="9">ROUNDUP(D19/5,-1)</f>
        <v>1440</v>
      </c>
      <c r="E20" s="152">
        <f t="shared" si="9"/>
        <v>2060</v>
      </c>
      <c r="F20" s="120">
        <f t="shared" si="9"/>
        <v>2980</v>
      </c>
      <c r="G20" s="152">
        <f t="shared" si="9"/>
        <v>5400</v>
      </c>
      <c r="H20" s="120">
        <f t="shared" si="9"/>
        <v>7160</v>
      </c>
      <c r="I20" s="152">
        <f t="shared" si="9"/>
        <v>10560</v>
      </c>
      <c r="J20" s="120">
        <f t="shared" si="9"/>
        <v>13260</v>
      </c>
      <c r="K20" s="152">
        <f t="shared" si="9"/>
        <v>15600</v>
      </c>
      <c r="L20" s="120">
        <f t="shared" si="9"/>
        <v>17700</v>
      </c>
      <c r="M20" s="152">
        <f t="shared" si="9"/>
        <v>19620</v>
      </c>
    </row>
    <row r="21" spans="3:13" ht="13.8" customHeight="1" x14ac:dyDescent="0.25">
      <c r="C21" s="149" t="s">
        <v>143</v>
      </c>
      <c r="D21" s="120">
        <f t="shared" ref="D21:M21" si="10">ROUND(0.15*(3.2+(1.1*D$14)^(1/1.4))*300,-2)</f>
        <v>600</v>
      </c>
      <c r="E21" s="152">
        <f t="shared" si="10"/>
        <v>900</v>
      </c>
      <c r="F21" s="120">
        <f>ROUND(0.15*(3.2+(1.1*F$14)^(1/1.4))*300,-2)</f>
        <v>1400</v>
      </c>
      <c r="G21" s="152">
        <f>ROUND(0.15*(3.2+(1.1*G$14)^(1/1.4))*300,-2)</f>
        <v>3000</v>
      </c>
      <c r="H21" s="120">
        <f>ROUND(0.15*(3.2+(1.1*H$14)^(1/1.4))*300,-2)</f>
        <v>4200</v>
      </c>
      <c r="I21" s="152">
        <f t="shared" si="10"/>
        <v>6800</v>
      </c>
      <c r="J21" s="120">
        <f t="shared" si="10"/>
        <v>9100</v>
      </c>
      <c r="K21" s="152">
        <f t="shared" si="10"/>
        <v>11100</v>
      </c>
      <c r="L21" s="120">
        <f t="shared" si="10"/>
        <v>13000</v>
      </c>
      <c r="M21" s="152">
        <f t="shared" si="10"/>
        <v>14800</v>
      </c>
    </row>
    <row r="22" spans="3:13" ht="13.8" customHeight="1" x14ac:dyDescent="0.25">
      <c r="C22" s="148" t="s">
        <v>141</v>
      </c>
      <c r="D22" s="120">
        <f t="shared" ref="D22:M22" si="11">ROUNDUP(D21/5,-1)</f>
        <v>120</v>
      </c>
      <c r="E22" s="152">
        <f t="shared" si="11"/>
        <v>180</v>
      </c>
      <c r="F22" s="120">
        <f t="shared" si="11"/>
        <v>280</v>
      </c>
      <c r="G22" s="152">
        <f t="shared" si="11"/>
        <v>600</v>
      </c>
      <c r="H22" s="120">
        <f t="shared" si="11"/>
        <v>840</v>
      </c>
      <c r="I22" s="152">
        <f t="shared" si="11"/>
        <v>1360</v>
      </c>
      <c r="J22" s="120">
        <f t="shared" si="11"/>
        <v>1820</v>
      </c>
      <c r="K22" s="152">
        <f t="shared" si="11"/>
        <v>2220</v>
      </c>
      <c r="L22" s="120">
        <f t="shared" si="11"/>
        <v>2600</v>
      </c>
      <c r="M22" s="152">
        <f t="shared" si="11"/>
        <v>2960</v>
      </c>
    </row>
    <row r="23" spans="3:13" ht="13.8" customHeight="1" x14ac:dyDescent="0.25">
      <c r="C23" s="149" t="s">
        <v>145</v>
      </c>
      <c r="D23" s="120"/>
      <c r="E23" s="119">
        <f t="shared" ref="E23:M23" si="12">ROUND((2+(1.1*E$14)^(1/1.69))*620*$E$5,-2)</f>
        <v>10700</v>
      </c>
      <c r="F23" s="120">
        <f t="shared" si="12"/>
        <v>15200</v>
      </c>
      <c r="G23" s="119">
        <f t="shared" si="12"/>
        <v>27600</v>
      </c>
      <c r="H23" s="120">
        <f t="shared" si="12"/>
        <v>36800</v>
      </c>
      <c r="I23" s="119">
        <f t="shared" si="12"/>
        <v>54600</v>
      </c>
      <c r="J23" s="120">
        <f t="shared" si="12"/>
        <v>69000</v>
      </c>
      <c r="K23" s="119">
        <f t="shared" si="12"/>
        <v>81500</v>
      </c>
      <c r="L23" s="120">
        <f t="shared" si="12"/>
        <v>92700</v>
      </c>
      <c r="M23" s="119">
        <f t="shared" si="12"/>
        <v>103100</v>
      </c>
    </row>
    <row r="24" spans="3:13" ht="13.8" customHeight="1" x14ac:dyDescent="0.25">
      <c r="C24" s="148" t="s">
        <v>112</v>
      </c>
      <c r="D24" s="120"/>
      <c r="E24" s="152">
        <f t="shared" ref="E24:M24" si="13">ROUNDUP(E23/5,-1)</f>
        <v>2140</v>
      </c>
      <c r="F24" s="120">
        <f t="shared" si="13"/>
        <v>3040</v>
      </c>
      <c r="G24" s="152">
        <f t="shared" si="13"/>
        <v>5520</v>
      </c>
      <c r="H24" s="120">
        <f t="shared" si="13"/>
        <v>7360</v>
      </c>
      <c r="I24" s="152">
        <f t="shared" si="13"/>
        <v>10920</v>
      </c>
      <c r="J24" s="120">
        <f t="shared" si="13"/>
        <v>13800</v>
      </c>
      <c r="K24" s="152">
        <f t="shared" si="13"/>
        <v>16300</v>
      </c>
      <c r="L24" s="120">
        <f t="shared" si="13"/>
        <v>18540</v>
      </c>
      <c r="M24" s="152">
        <f t="shared" si="13"/>
        <v>20620</v>
      </c>
    </row>
    <row r="25" spans="3:13" ht="13.8" customHeight="1" x14ac:dyDescent="0.25">
      <c r="C25" s="149" t="s">
        <v>146</v>
      </c>
      <c r="D25" s="120"/>
      <c r="E25" s="152">
        <f t="shared" ref="E25:M25" si="14">ROUND((1+(1.1*E$14)^(1/1.61))*700*$E$5,-2)</f>
        <v>12400</v>
      </c>
      <c r="F25" s="120">
        <f t="shared" si="14"/>
        <v>18500</v>
      </c>
      <c r="G25" s="152">
        <f t="shared" si="14"/>
        <v>35700</v>
      </c>
      <c r="H25" s="120">
        <f t="shared" si="14"/>
        <v>48700</v>
      </c>
      <c r="I25" s="152">
        <f t="shared" si="14"/>
        <v>74400</v>
      </c>
      <c r="J25" s="120">
        <f t="shared" si="14"/>
        <v>95400</v>
      </c>
      <c r="K25" s="152">
        <f t="shared" si="14"/>
        <v>113900</v>
      </c>
      <c r="L25" s="120">
        <f t="shared" si="14"/>
        <v>130700</v>
      </c>
      <c r="M25" s="152">
        <f t="shared" si="14"/>
        <v>146200</v>
      </c>
    </row>
    <row r="26" spans="3:13" ht="13.8" customHeight="1" x14ac:dyDescent="0.25">
      <c r="C26" s="148" t="s">
        <v>113</v>
      </c>
      <c r="D26" s="120"/>
      <c r="E26" s="152">
        <f t="shared" ref="E26:M26" si="15">ROUNDUP(E25/5,-1)</f>
        <v>2480</v>
      </c>
      <c r="F26" s="120">
        <f t="shared" si="15"/>
        <v>3700</v>
      </c>
      <c r="G26" s="152">
        <f t="shared" si="15"/>
        <v>7140</v>
      </c>
      <c r="H26" s="120">
        <f t="shared" si="15"/>
        <v>9740</v>
      </c>
      <c r="I26" s="152">
        <f t="shared" si="15"/>
        <v>14880</v>
      </c>
      <c r="J26" s="120">
        <f t="shared" si="15"/>
        <v>19080</v>
      </c>
      <c r="K26" s="152">
        <f t="shared" si="15"/>
        <v>22780</v>
      </c>
      <c r="L26" s="120">
        <f t="shared" si="15"/>
        <v>26140</v>
      </c>
      <c r="M26" s="152">
        <f t="shared" si="15"/>
        <v>29240</v>
      </c>
    </row>
    <row r="27" spans="3:13" ht="13.8" customHeight="1" x14ac:dyDescent="0.25">
      <c r="C27" s="149" t="s">
        <v>144</v>
      </c>
      <c r="D27" s="120"/>
      <c r="E27" s="152">
        <f t="shared" ref="E27:M27" si="16">ROUND(9000+(1+(2.3*E$14)^(1/1.9))*500*$E$5,-2)</f>
        <v>17900</v>
      </c>
      <c r="F27" s="120">
        <f t="shared" si="16"/>
        <v>21500</v>
      </c>
      <c r="G27" s="152">
        <f t="shared" si="16"/>
        <v>30800</v>
      </c>
      <c r="H27" s="120">
        <f t="shared" si="16"/>
        <v>37300</v>
      </c>
      <c r="I27" s="152">
        <f t="shared" si="16"/>
        <v>49500</v>
      </c>
      <c r="J27" s="120">
        <f t="shared" si="16"/>
        <v>59000</v>
      </c>
      <c r="K27" s="152">
        <f t="shared" si="16"/>
        <v>67000</v>
      </c>
      <c r="L27" s="120">
        <f t="shared" si="16"/>
        <v>74200</v>
      </c>
      <c r="M27" s="152">
        <f t="shared" si="16"/>
        <v>80700</v>
      </c>
    </row>
    <row r="28" spans="3:13" ht="13.8" customHeight="1" x14ac:dyDescent="0.25">
      <c r="C28" s="150" t="s">
        <v>42</v>
      </c>
      <c r="D28" s="125"/>
      <c r="E28" s="153">
        <f t="shared" ref="E28:M28" si="17">ROUNDUP(E27/5,-1)</f>
        <v>3580</v>
      </c>
      <c r="F28" s="125">
        <f t="shared" si="17"/>
        <v>4300</v>
      </c>
      <c r="G28" s="153">
        <f t="shared" si="17"/>
        <v>6160</v>
      </c>
      <c r="H28" s="125">
        <f t="shared" si="17"/>
        <v>7460</v>
      </c>
      <c r="I28" s="153">
        <f t="shared" si="17"/>
        <v>9900</v>
      </c>
      <c r="J28" s="125">
        <f t="shared" si="17"/>
        <v>11800</v>
      </c>
      <c r="K28" s="153">
        <f t="shared" si="17"/>
        <v>13400</v>
      </c>
      <c r="L28" s="125">
        <f t="shared" si="17"/>
        <v>14840</v>
      </c>
      <c r="M28" s="153">
        <f t="shared" si="17"/>
        <v>16140</v>
      </c>
    </row>
    <row r="29" spans="3:13" ht="19.8" customHeight="1" x14ac:dyDescent="0.25">
      <c r="C29" s="110" t="s">
        <v>15</v>
      </c>
      <c r="D29" s="111">
        <f>'FLUXPAM 5'!E$9</f>
        <v>25</v>
      </c>
      <c r="E29" s="112">
        <f>'FLUXPAM 5'!F$9</f>
        <v>50</v>
      </c>
      <c r="F29" s="111">
        <f>'FLUXPAM 5'!G$9</f>
        <v>100</v>
      </c>
      <c r="G29" s="112">
        <f>'FLUXPAM 5'!H$9</f>
        <v>300</v>
      </c>
      <c r="H29" s="111">
        <f>'FLUXPAM 5'!I$9</f>
        <v>500</v>
      </c>
      <c r="I29" s="113">
        <f>'FLUXPAM 5'!J$9</f>
        <v>1000</v>
      </c>
      <c r="J29" s="114">
        <f>'FLUXPAM 5'!K$9</f>
        <v>1500</v>
      </c>
      <c r="K29" s="113">
        <f>'FLUXPAM 5'!L$9</f>
        <v>2000</v>
      </c>
      <c r="L29" s="114">
        <f>'FLUXPAM 5'!M$9</f>
        <v>2500</v>
      </c>
      <c r="M29" s="113">
        <f>'FLUXPAM 5'!N$9</f>
        <v>3000</v>
      </c>
    </row>
    <row r="30" spans="3:13" ht="13.8" customHeight="1" x14ac:dyDescent="0.25">
      <c r="C30" s="115" t="s">
        <v>3</v>
      </c>
      <c r="D30" s="116">
        <f t="shared" ref="D30:M30" si="18">ROUND(20000+(1+(1.3*D$29)^(1/1.55))*800*$E$5,-2)</f>
        <v>31300</v>
      </c>
      <c r="E30" s="125">
        <f t="shared" si="18"/>
        <v>37100</v>
      </c>
      <c r="F30" s="116">
        <f t="shared" si="18"/>
        <v>46100</v>
      </c>
      <c r="G30" s="117">
        <f t="shared" si="18"/>
        <v>72000</v>
      </c>
      <c r="H30" s="116">
        <f t="shared" si="18"/>
        <v>91800</v>
      </c>
      <c r="I30" s="117">
        <f t="shared" si="18"/>
        <v>131700</v>
      </c>
      <c r="J30" s="116">
        <f t="shared" si="18"/>
        <v>164800</v>
      </c>
      <c r="K30" s="117">
        <f t="shared" si="18"/>
        <v>194100</v>
      </c>
      <c r="L30" s="116">
        <f t="shared" si="18"/>
        <v>220900</v>
      </c>
      <c r="M30" s="117">
        <f t="shared" si="18"/>
        <v>245800</v>
      </c>
    </row>
    <row r="31" spans="3:13" ht="13.8" customHeight="1" x14ac:dyDescent="0.25">
      <c r="C31" s="118" t="s">
        <v>36</v>
      </c>
      <c r="D31" s="119">
        <f t="shared" ref="D31:M31" si="19">ROUNDUP(D30/5,-1)</f>
        <v>6260</v>
      </c>
      <c r="E31" s="125">
        <f t="shared" si="19"/>
        <v>7420</v>
      </c>
      <c r="F31" s="119">
        <f t="shared" si="19"/>
        <v>9220</v>
      </c>
      <c r="G31" s="120">
        <f t="shared" si="19"/>
        <v>14400</v>
      </c>
      <c r="H31" s="119">
        <f t="shared" si="19"/>
        <v>18360</v>
      </c>
      <c r="I31" s="120">
        <f t="shared" si="19"/>
        <v>26340</v>
      </c>
      <c r="J31" s="119">
        <f t="shared" si="19"/>
        <v>32960</v>
      </c>
      <c r="K31" s="120">
        <f t="shared" si="19"/>
        <v>38820</v>
      </c>
      <c r="L31" s="119">
        <f t="shared" si="19"/>
        <v>44180</v>
      </c>
      <c r="M31" s="120">
        <f t="shared" si="19"/>
        <v>49160</v>
      </c>
    </row>
    <row r="32" spans="3:13" ht="13.8" customHeight="1" x14ac:dyDescent="0.25">
      <c r="C32" s="121" t="s">
        <v>4</v>
      </c>
      <c r="D32" s="119">
        <f t="shared" ref="D32:M32" si="20">ROUND(10000+(1+(1.1*D$29)^(1/1.55))*500*$E$5,-2)</f>
        <v>16400</v>
      </c>
      <c r="E32" s="125">
        <f t="shared" si="20"/>
        <v>19700</v>
      </c>
      <c r="F32" s="119">
        <f t="shared" si="20"/>
        <v>24700</v>
      </c>
      <c r="G32" s="120">
        <f t="shared" si="20"/>
        <v>39200</v>
      </c>
      <c r="H32" s="119">
        <f t="shared" si="20"/>
        <v>50400</v>
      </c>
      <c r="I32" s="120">
        <f t="shared" si="20"/>
        <v>72700</v>
      </c>
      <c r="J32" s="119">
        <f t="shared" si="20"/>
        <v>91300</v>
      </c>
      <c r="K32" s="120">
        <f t="shared" si="20"/>
        <v>107700</v>
      </c>
      <c r="L32" s="119">
        <f t="shared" si="20"/>
        <v>122800</v>
      </c>
      <c r="M32" s="120">
        <f t="shared" si="20"/>
        <v>136800</v>
      </c>
    </row>
    <row r="33" spans="3:13" ht="13.8" customHeight="1" x14ac:dyDescent="0.25">
      <c r="C33" s="118" t="s">
        <v>37</v>
      </c>
      <c r="D33" s="119">
        <f t="shared" ref="D33:M33" si="21">ROUNDUP(D32/5,-1)</f>
        <v>3280</v>
      </c>
      <c r="E33" s="125">
        <f t="shared" si="21"/>
        <v>3940</v>
      </c>
      <c r="F33" s="119">
        <f t="shared" si="21"/>
        <v>4940</v>
      </c>
      <c r="G33" s="120">
        <f t="shared" si="21"/>
        <v>7840</v>
      </c>
      <c r="H33" s="119">
        <f t="shared" si="21"/>
        <v>10080</v>
      </c>
      <c r="I33" s="120">
        <f t="shared" si="21"/>
        <v>14540</v>
      </c>
      <c r="J33" s="119">
        <f t="shared" si="21"/>
        <v>18260</v>
      </c>
      <c r="K33" s="120">
        <f t="shared" si="21"/>
        <v>21540</v>
      </c>
      <c r="L33" s="119">
        <f t="shared" si="21"/>
        <v>24560</v>
      </c>
      <c r="M33" s="120">
        <f t="shared" si="21"/>
        <v>27360</v>
      </c>
    </row>
    <row r="34" spans="3:13" ht="13.8" customHeight="1" x14ac:dyDescent="0.25">
      <c r="C34" s="126" t="s">
        <v>5</v>
      </c>
      <c r="D34" s="119">
        <f>ROUND(5000+(1+(1.1*D$29)^(1/1.65))*500*$E$5,-2)</f>
        <v>10700</v>
      </c>
      <c r="E34" s="125">
        <f t="shared" ref="E34:M34" si="22">ROUND(5000+(1+(1.1*E$29)^(1/1.65))*500*$E$5,-2)</f>
        <v>13400</v>
      </c>
      <c r="F34" s="119">
        <f t="shared" si="22"/>
        <v>17400</v>
      </c>
      <c r="G34" s="120">
        <f t="shared" si="22"/>
        <v>28400</v>
      </c>
      <c r="H34" s="119">
        <f t="shared" si="22"/>
        <v>36700</v>
      </c>
      <c r="I34" s="120">
        <f t="shared" si="22"/>
        <v>52900</v>
      </c>
      <c r="J34" s="119">
        <f t="shared" si="22"/>
        <v>66000</v>
      </c>
      <c r="K34" s="120">
        <f t="shared" si="22"/>
        <v>77500</v>
      </c>
      <c r="L34" s="119">
        <f t="shared" si="22"/>
        <v>87900</v>
      </c>
      <c r="M34" s="120">
        <f t="shared" si="22"/>
        <v>97500</v>
      </c>
    </row>
    <row r="35" spans="3:13" ht="13.8" customHeight="1" x14ac:dyDescent="0.25">
      <c r="C35" s="127" t="s">
        <v>38</v>
      </c>
      <c r="D35" s="119">
        <f t="shared" ref="D35:M35" si="23">ROUNDUP(D34/5,-1)</f>
        <v>2140</v>
      </c>
      <c r="E35" s="125">
        <f t="shared" si="23"/>
        <v>2680</v>
      </c>
      <c r="F35" s="119">
        <f t="shared" si="23"/>
        <v>3480</v>
      </c>
      <c r="G35" s="120">
        <f t="shared" si="23"/>
        <v>5680</v>
      </c>
      <c r="H35" s="119">
        <f t="shared" si="23"/>
        <v>7340</v>
      </c>
      <c r="I35" s="120">
        <f t="shared" si="23"/>
        <v>10580</v>
      </c>
      <c r="J35" s="119">
        <f t="shared" si="23"/>
        <v>13200</v>
      </c>
      <c r="K35" s="120">
        <f t="shared" si="23"/>
        <v>15500</v>
      </c>
      <c r="L35" s="119">
        <f t="shared" si="23"/>
        <v>17580</v>
      </c>
      <c r="M35" s="120">
        <f t="shared" si="23"/>
        <v>19500</v>
      </c>
    </row>
    <row r="36" spans="3:13" ht="13.8" customHeight="1" x14ac:dyDescent="0.25">
      <c r="C36" s="126" t="s">
        <v>7</v>
      </c>
      <c r="D36" s="119">
        <f t="shared" ref="D36:I36" si="24">ROUND(5000+(1+(1.1*D$29)^(1/1.5))*400*$E$5,-2)</f>
        <v>10500</v>
      </c>
      <c r="E36" s="120">
        <f t="shared" si="24"/>
        <v>13400</v>
      </c>
      <c r="F36" s="119">
        <f t="shared" si="24"/>
        <v>18000</v>
      </c>
      <c r="G36" s="120">
        <f t="shared" si="24"/>
        <v>31400</v>
      </c>
      <c r="H36" s="119">
        <f t="shared" si="24"/>
        <v>41900</v>
      </c>
      <c r="I36" s="120">
        <f t="shared" si="24"/>
        <v>63300</v>
      </c>
      <c r="J36" s="119"/>
      <c r="K36" s="120"/>
      <c r="L36" s="119"/>
      <c r="M36" s="120"/>
    </row>
    <row r="37" spans="3:13" ht="13.8" customHeight="1" x14ac:dyDescent="0.25">
      <c r="C37" s="127" t="s">
        <v>39</v>
      </c>
      <c r="D37" s="119">
        <f t="shared" ref="D37:I37" si="25">ROUNDUP(D36/5,-1)</f>
        <v>2100</v>
      </c>
      <c r="E37" s="120">
        <f t="shared" si="25"/>
        <v>2680</v>
      </c>
      <c r="F37" s="119">
        <f t="shared" si="25"/>
        <v>3600</v>
      </c>
      <c r="G37" s="120">
        <f t="shared" si="25"/>
        <v>6280</v>
      </c>
      <c r="H37" s="119">
        <f t="shared" si="25"/>
        <v>8380</v>
      </c>
      <c r="I37" s="120">
        <f t="shared" si="25"/>
        <v>12660</v>
      </c>
      <c r="J37" s="119"/>
      <c r="K37" s="120"/>
      <c r="L37" s="119"/>
      <c r="M37" s="120"/>
    </row>
    <row r="38" spans="3:13" ht="13.8" customHeight="1" x14ac:dyDescent="0.25">
      <c r="C38" s="126" t="s">
        <v>16</v>
      </c>
      <c r="D38" s="119"/>
      <c r="E38" s="120"/>
      <c r="F38" s="119">
        <f t="shared" ref="F38:M38" si="26">ROUND(5000+(1+(1.1*F$29)^(1/1.5))*400*$E$5,-2)</f>
        <v>18000</v>
      </c>
      <c r="G38" s="120">
        <f t="shared" si="26"/>
        <v>31400</v>
      </c>
      <c r="H38" s="119">
        <f t="shared" si="26"/>
        <v>41900</v>
      </c>
      <c r="I38" s="120">
        <f t="shared" si="26"/>
        <v>63300</v>
      </c>
      <c r="J38" s="119">
        <f t="shared" si="26"/>
        <v>81200</v>
      </c>
      <c r="K38" s="120">
        <f t="shared" si="26"/>
        <v>97200</v>
      </c>
      <c r="L38" s="119">
        <f t="shared" si="26"/>
        <v>111900</v>
      </c>
      <c r="M38" s="120">
        <f t="shared" si="26"/>
        <v>125600</v>
      </c>
    </row>
    <row r="39" spans="3:13" ht="13.8" customHeight="1" x14ac:dyDescent="0.25">
      <c r="C39" s="128" t="s">
        <v>40</v>
      </c>
      <c r="D39" s="124"/>
      <c r="E39" s="125"/>
      <c r="F39" s="124">
        <f t="shared" ref="F39:M39" si="27">ROUNDUP(F38/5,-1)</f>
        <v>3600</v>
      </c>
      <c r="G39" s="125">
        <f t="shared" si="27"/>
        <v>6280</v>
      </c>
      <c r="H39" s="124">
        <f t="shared" si="27"/>
        <v>8380</v>
      </c>
      <c r="I39" s="125">
        <f t="shared" si="27"/>
        <v>12660</v>
      </c>
      <c r="J39" s="124">
        <f t="shared" si="27"/>
        <v>16240</v>
      </c>
      <c r="K39" s="125">
        <f t="shared" si="27"/>
        <v>19440</v>
      </c>
      <c r="L39" s="124">
        <f t="shared" si="27"/>
        <v>22380</v>
      </c>
      <c r="M39" s="125">
        <f t="shared" si="27"/>
        <v>25120</v>
      </c>
    </row>
    <row r="40" spans="3:13" ht="13.8" customHeight="1" x14ac:dyDescent="0.25">
      <c r="C40" s="126" t="s">
        <v>164</v>
      </c>
      <c r="D40" s="119"/>
      <c r="E40" s="120"/>
      <c r="F40" s="119">
        <f t="shared" ref="F40:M40" si="28">ROUND((5000+(1+(1.1*F$29)^(1/1.5))*400*$E$5)*0.66,-2)</f>
        <v>11900</v>
      </c>
      <c r="G40" s="120">
        <f t="shared" si="28"/>
        <v>20700</v>
      </c>
      <c r="H40" s="119">
        <f t="shared" si="28"/>
        <v>27700</v>
      </c>
      <c r="I40" s="120">
        <f t="shared" si="28"/>
        <v>41800</v>
      </c>
      <c r="J40" s="119">
        <f t="shared" si="28"/>
        <v>53600</v>
      </c>
      <c r="K40" s="120">
        <f t="shared" si="28"/>
        <v>64100</v>
      </c>
      <c r="L40" s="119">
        <f t="shared" si="28"/>
        <v>73800</v>
      </c>
      <c r="M40" s="120">
        <f t="shared" si="28"/>
        <v>82900</v>
      </c>
    </row>
    <row r="41" spans="3:13" ht="13.8" customHeight="1" x14ac:dyDescent="0.25">
      <c r="C41" s="128" t="s">
        <v>165</v>
      </c>
      <c r="D41" s="124"/>
      <c r="E41" s="125"/>
      <c r="F41" s="124">
        <f t="shared" ref="F41:M41" si="29">ROUNDUP(F40/5,-1)</f>
        <v>2380</v>
      </c>
      <c r="G41" s="125">
        <f t="shared" si="29"/>
        <v>4140</v>
      </c>
      <c r="H41" s="124">
        <f t="shared" si="29"/>
        <v>5540</v>
      </c>
      <c r="I41" s="125">
        <f t="shared" si="29"/>
        <v>8360</v>
      </c>
      <c r="J41" s="124">
        <f t="shared" si="29"/>
        <v>10720</v>
      </c>
      <c r="K41" s="125">
        <f t="shared" si="29"/>
        <v>12820</v>
      </c>
      <c r="L41" s="124">
        <f t="shared" si="29"/>
        <v>14760</v>
      </c>
      <c r="M41" s="125">
        <f t="shared" si="29"/>
        <v>16580</v>
      </c>
    </row>
    <row r="42" spans="3:13" ht="19.8" customHeight="1" x14ac:dyDescent="0.25">
      <c r="C42" s="129" t="s">
        <v>52</v>
      </c>
      <c r="D42" s="112">
        <f>'FLUXPAM 5'!E$9</f>
        <v>25</v>
      </c>
      <c r="E42" s="111">
        <f>'FLUXPAM 5'!F$9</f>
        <v>50</v>
      </c>
      <c r="F42" s="112">
        <f>'FLUXPAM 5'!G$9</f>
        <v>100</v>
      </c>
      <c r="G42" s="111">
        <f>'FLUXPAM 5'!H$9</f>
        <v>300</v>
      </c>
      <c r="H42" s="112">
        <f>'FLUXPAM 5'!I$9</f>
        <v>500</v>
      </c>
      <c r="I42" s="114">
        <f>'FLUXPAM 5'!J$9</f>
        <v>1000</v>
      </c>
      <c r="J42" s="113">
        <f>'FLUXPAM 5'!K$9</f>
        <v>1500</v>
      </c>
      <c r="K42" s="114">
        <f>'FLUXPAM 5'!L$9</f>
        <v>2000</v>
      </c>
      <c r="L42" s="113">
        <f>'FLUXPAM 5'!M$9</f>
        <v>2500</v>
      </c>
      <c r="M42" s="114">
        <f>'FLUXPAM 5'!N$9</f>
        <v>3000</v>
      </c>
    </row>
    <row r="43" spans="3:13" ht="13.8" customHeight="1" x14ac:dyDescent="0.25">
      <c r="C43" s="130" t="s">
        <v>101</v>
      </c>
      <c r="D43" s="117"/>
      <c r="E43" s="116">
        <f t="shared" ref="E43:M43" si="30">ROUND(2000+(1+(1.1*E$42)^(1/1.65))*800*$E$5,-2)</f>
        <v>15400</v>
      </c>
      <c r="F43" s="117">
        <f t="shared" si="30"/>
        <v>21800</v>
      </c>
      <c r="G43" s="116">
        <f t="shared" si="30"/>
        <v>39500</v>
      </c>
      <c r="H43" s="117">
        <f t="shared" si="30"/>
        <v>52700</v>
      </c>
      <c r="I43" s="116">
        <f t="shared" si="30"/>
        <v>78600</v>
      </c>
      <c r="J43" s="117">
        <f t="shared" si="30"/>
        <v>99600</v>
      </c>
      <c r="K43" s="116">
        <f t="shared" si="30"/>
        <v>118000</v>
      </c>
      <c r="L43" s="117">
        <f t="shared" si="30"/>
        <v>134700</v>
      </c>
      <c r="M43" s="116">
        <f t="shared" si="30"/>
        <v>150100</v>
      </c>
    </row>
    <row r="44" spans="3:13" ht="13.8" customHeight="1" x14ac:dyDescent="0.25">
      <c r="C44" s="131" t="s">
        <v>102</v>
      </c>
      <c r="D44" s="120"/>
      <c r="E44" s="119">
        <f t="shared" ref="E44:M44" si="31">ROUNDUP(E43/5,-1)</f>
        <v>3080</v>
      </c>
      <c r="F44" s="120">
        <f t="shared" si="31"/>
        <v>4360</v>
      </c>
      <c r="G44" s="119">
        <f t="shared" si="31"/>
        <v>7900</v>
      </c>
      <c r="H44" s="120">
        <f t="shared" si="31"/>
        <v>10540</v>
      </c>
      <c r="I44" s="119">
        <f t="shared" si="31"/>
        <v>15720</v>
      </c>
      <c r="J44" s="120">
        <f t="shared" si="31"/>
        <v>19920</v>
      </c>
      <c r="K44" s="119">
        <f t="shared" si="31"/>
        <v>23600</v>
      </c>
      <c r="L44" s="120">
        <f t="shared" si="31"/>
        <v>26940</v>
      </c>
      <c r="M44" s="119">
        <f t="shared" si="31"/>
        <v>30020</v>
      </c>
    </row>
    <row r="45" spans="3:13" ht="13.8" customHeight="1" x14ac:dyDescent="0.25">
      <c r="C45" s="132" t="s">
        <v>5</v>
      </c>
      <c r="D45" s="120"/>
      <c r="E45" s="119">
        <f>ROUND(5000+(1+(1.1*E$29)^(1/1.65))*500*$E$5,-2)</f>
        <v>13400</v>
      </c>
      <c r="F45" s="120">
        <f t="shared" ref="F45:M45" si="32">ROUND(5000+(1+(1.1*F$29)^(1/1.65))*500*$E$5,-2)</f>
        <v>17400</v>
      </c>
      <c r="G45" s="119">
        <f t="shared" si="32"/>
        <v>28400</v>
      </c>
      <c r="H45" s="120">
        <f t="shared" si="32"/>
        <v>36700</v>
      </c>
      <c r="I45" s="119">
        <f t="shared" si="32"/>
        <v>52900</v>
      </c>
      <c r="J45" s="120">
        <f t="shared" si="32"/>
        <v>66000</v>
      </c>
      <c r="K45" s="119">
        <f t="shared" si="32"/>
        <v>77500</v>
      </c>
      <c r="L45" s="120">
        <f t="shared" si="32"/>
        <v>87900</v>
      </c>
      <c r="M45" s="119">
        <f t="shared" si="32"/>
        <v>97500</v>
      </c>
    </row>
    <row r="46" spans="3:13" ht="13.8" customHeight="1" x14ac:dyDescent="0.25">
      <c r="C46" s="133" t="s">
        <v>38</v>
      </c>
      <c r="D46" s="120"/>
      <c r="E46" s="119">
        <f t="shared" ref="E46:M46" si="33">ROUNDUP(E45/5,-1)</f>
        <v>2680</v>
      </c>
      <c r="F46" s="120">
        <f t="shared" si="33"/>
        <v>3480</v>
      </c>
      <c r="G46" s="119">
        <f t="shared" si="33"/>
        <v>5680</v>
      </c>
      <c r="H46" s="120">
        <f t="shared" si="33"/>
        <v>7340</v>
      </c>
      <c r="I46" s="119">
        <f t="shared" si="33"/>
        <v>10580</v>
      </c>
      <c r="J46" s="120">
        <f t="shared" si="33"/>
        <v>13200</v>
      </c>
      <c r="K46" s="119">
        <f t="shared" si="33"/>
        <v>15500</v>
      </c>
      <c r="L46" s="120">
        <f t="shared" si="33"/>
        <v>17580</v>
      </c>
      <c r="M46" s="119">
        <f t="shared" si="33"/>
        <v>19500</v>
      </c>
    </row>
    <row r="47" spans="3:13" ht="13.8" customHeight="1" x14ac:dyDescent="0.3">
      <c r="C47" s="155" t="s">
        <v>151</v>
      </c>
      <c r="D47" s="120"/>
      <c r="E47" s="119">
        <f t="shared" ref="E47:G49" si="34">ROUND(E$23*0.67,-2)</f>
        <v>7200</v>
      </c>
      <c r="F47" s="120">
        <f t="shared" si="34"/>
        <v>10200</v>
      </c>
      <c r="G47" s="119">
        <f t="shared" si="34"/>
        <v>18500</v>
      </c>
      <c r="H47" s="120">
        <f>ROUND(H$23*0.67,-2)</f>
        <v>24700</v>
      </c>
      <c r="I47" s="119">
        <f t="shared" ref="I47:M49" si="35">ROUND(I$23*0.67,-2)</f>
        <v>36600</v>
      </c>
      <c r="J47" s="120">
        <f>ROUND(J$23*0.67,-2)</f>
        <v>46200</v>
      </c>
      <c r="K47" s="119">
        <f t="shared" si="35"/>
        <v>54600</v>
      </c>
      <c r="L47" s="120">
        <f t="shared" si="35"/>
        <v>62100</v>
      </c>
      <c r="M47" s="119">
        <f t="shared" si="35"/>
        <v>69100</v>
      </c>
    </row>
    <row r="48" spans="3:13" ht="13.8" customHeight="1" x14ac:dyDescent="0.25">
      <c r="C48" s="133" t="s">
        <v>126</v>
      </c>
      <c r="D48" s="120"/>
      <c r="E48" s="119">
        <f t="shared" ref="E48:M48" si="36">ROUNDUP(E47/5,-1)</f>
        <v>1440</v>
      </c>
      <c r="F48" s="120">
        <f t="shared" si="36"/>
        <v>2040</v>
      </c>
      <c r="G48" s="119">
        <f t="shared" si="36"/>
        <v>3700</v>
      </c>
      <c r="H48" s="120">
        <f t="shared" si="36"/>
        <v>4940</v>
      </c>
      <c r="I48" s="119">
        <f t="shared" si="36"/>
        <v>7320</v>
      </c>
      <c r="J48" s="120">
        <f t="shared" si="36"/>
        <v>9240</v>
      </c>
      <c r="K48" s="119">
        <f t="shared" si="36"/>
        <v>10920</v>
      </c>
      <c r="L48" s="120">
        <f t="shared" si="36"/>
        <v>12420</v>
      </c>
      <c r="M48" s="119">
        <f t="shared" si="36"/>
        <v>13820</v>
      </c>
    </row>
    <row r="49" spans="3:13" ht="13.8" customHeight="1" x14ac:dyDescent="0.3">
      <c r="C49" s="155" t="s">
        <v>150</v>
      </c>
      <c r="D49" s="120"/>
      <c r="E49" s="119">
        <f t="shared" si="34"/>
        <v>7200</v>
      </c>
      <c r="F49" s="120">
        <f>ROUND(F$23*0.67,-2)</f>
        <v>10200</v>
      </c>
      <c r="G49" s="119">
        <f t="shared" si="34"/>
        <v>18500</v>
      </c>
      <c r="H49" s="120">
        <f>ROUND(H$23*0.67,-2)</f>
        <v>24700</v>
      </c>
      <c r="I49" s="119">
        <f t="shared" si="35"/>
        <v>36600</v>
      </c>
      <c r="J49" s="120">
        <f t="shared" si="35"/>
        <v>46200</v>
      </c>
      <c r="K49" s="119">
        <f t="shared" si="35"/>
        <v>54600</v>
      </c>
      <c r="L49" s="120">
        <f t="shared" si="35"/>
        <v>62100</v>
      </c>
      <c r="M49" s="119">
        <f t="shared" si="35"/>
        <v>69100</v>
      </c>
    </row>
    <row r="50" spans="3:13" ht="13.8" customHeight="1" x14ac:dyDescent="0.25">
      <c r="C50" s="133" t="s">
        <v>127</v>
      </c>
      <c r="D50" s="120"/>
      <c r="E50" s="119">
        <f t="shared" ref="E50:M50" si="37">ROUNDUP(E49/5,-1)</f>
        <v>1440</v>
      </c>
      <c r="F50" s="120">
        <f t="shared" si="37"/>
        <v>2040</v>
      </c>
      <c r="G50" s="119">
        <f t="shared" si="37"/>
        <v>3700</v>
      </c>
      <c r="H50" s="120">
        <f t="shared" si="37"/>
        <v>4940</v>
      </c>
      <c r="I50" s="119">
        <f t="shared" si="37"/>
        <v>7320</v>
      </c>
      <c r="J50" s="120">
        <f t="shared" si="37"/>
        <v>9240</v>
      </c>
      <c r="K50" s="119">
        <f t="shared" si="37"/>
        <v>10920</v>
      </c>
      <c r="L50" s="120">
        <f t="shared" si="37"/>
        <v>12420</v>
      </c>
      <c r="M50" s="119">
        <f t="shared" si="37"/>
        <v>13820</v>
      </c>
    </row>
    <row r="51" spans="3:13" ht="13.8" customHeight="1" x14ac:dyDescent="0.3">
      <c r="C51" s="155" t="s">
        <v>103</v>
      </c>
      <c r="D51" s="120"/>
      <c r="E51" s="152">
        <f>ROUND((1.8+(1.1*E$14)^(1/2.5))*600*$E$5,-2)</f>
        <v>5500</v>
      </c>
      <c r="F51" s="120">
        <f t="shared" ref="F51:M51" si="38">ROUND((1.8+(1.1*F$14)^(1/2.5))*600*$E$5,-2)</f>
        <v>6800</v>
      </c>
      <c r="G51" s="152">
        <f t="shared" si="38"/>
        <v>9700</v>
      </c>
      <c r="H51" s="120">
        <f t="shared" si="38"/>
        <v>11600</v>
      </c>
      <c r="I51" s="152">
        <f t="shared" si="38"/>
        <v>14800</v>
      </c>
      <c r="J51" s="120">
        <f t="shared" si="38"/>
        <v>17200</v>
      </c>
      <c r="K51" s="152">
        <f t="shared" si="38"/>
        <v>19100</v>
      </c>
      <c r="L51" s="120">
        <f t="shared" si="38"/>
        <v>20800</v>
      </c>
      <c r="M51" s="152">
        <f t="shared" si="38"/>
        <v>22200</v>
      </c>
    </row>
    <row r="52" spans="3:13" ht="13.8" customHeight="1" x14ac:dyDescent="0.25">
      <c r="C52" s="133" t="s">
        <v>104</v>
      </c>
      <c r="D52" s="120"/>
      <c r="E52" s="119">
        <f t="shared" ref="E52:M52" si="39">ROUNDUP(E51/5,-1)</f>
        <v>1100</v>
      </c>
      <c r="F52" s="120">
        <f t="shared" si="39"/>
        <v>1360</v>
      </c>
      <c r="G52" s="119">
        <f t="shared" si="39"/>
        <v>1940</v>
      </c>
      <c r="H52" s="120">
        <f t="shared" si="39"/>
        <v>2320</v>
      </c>
      <c r="I52" s="119">
        <f t="shared" si="39"/>
        <v>2960</v>
      </c>
      <c r="J52" s="120">
        <f t="shared" si="39"/>
        <v>3440</v>
      </c>
      <c r="K52" s="119">
        <f t="shared" si="39"/>
        <v>3820</v>
      </c>
      <c r="L52" s="120">
        <f t="shared" si="39"/>
        <v>4160</v>
      </c>
      <c r="M52" s="119">
        <f t="shared" si="39"/>
        <v>4440</v>
      </c>
    </row>
    <row r="53" spans="3:13" ht="13.8" customHeight="1" x14ac:dyDescent="0.3">
      <c r="C53" s="155" t="s">
        <v>105</v>
      </c>
      <c r="D53" s="120"/>
      <c r="E53" s="152">
        <f t="shared" ref="E53:M53" si="40">ROUND((2+(1.1*E$14)^(1/2.15))*700*$E$5,-2)</f>
        <v>8000</v>
      </c>
      <c r="F53" s="120">
        <f t="shared" si="40"/>
        <v>10300</v>
      </c>
      <c r="G53" s="152">
        <f t="shared" si="40"/>
        <v>16000</v>
      </c>
      <c r="H53" s="120">
        <f t="shared" si="40"/>
        <v>19700</v>
      </c>
      <c r="I53" s="152">
        <f t="shared" si="40"/>
        <v>26500</v>
      </c>
      <c r="J53" s="120">
        <f t="shared" si="40"/>
        <v>31600</v>
      </c>
      <c r="K53" s="152">
        <f t="shared" si="40"/>
        <v>35900</v>
      </c>
      <c r="L53" s="120">
        <f t="shared" si="40"/>
        <v>39600</v>
      </c>
      <c r="M53" s="152">
        <f t="shared" si="40"/>
        <v>42900</v>
      </c>
    </row>
    <row r="54" spans="3:13" ht="13.8" customHeight="1" x14ac:dyDescent="0.25">
      <c r="C54" s="133" t="s">
        <v>106</v>
      </c>
      <c r="D54" s="120"/>
      <c r="E54" s="119">
        <f t="shared" ref="E54:M54" si="41">ROUNDUP(E53/5,-1)</f>
        <v>1600</v>
      </c>
      <c r="F54" s="120">
        <f t="shared" si="41"/>
        <v>2060</v>
      </c>
      <c r="G54" s="119">
        <f t="shared" si="41"/>
        <v>3200</v>
      </c>
      <c r="H54" s="120">
        <f t="shared" si="41"/>
        <v>3940</v>
      </c>
      <c r="I54" s="119">
        <f t="shared" si="41"/>
        <v>5300</v>
      </c>
      <c r="J54" s="120">
        <f t="shared" si="41"/>
        <v>6320</v>
      </c>
      <c r="K54" s="119">
        <f t="shared" si="41"/>
        <v>7180</v>
      </c>
      <c r="L54" s="120">
        <f t="shared" si="41"/>
        <v>7920</v>
      </c>
      <c r="M54" s="119">
        <f t="shared" si="41"/>
        <v>8580</v>
      </c>
    </row>
    <row r="55" spans="3:13" ht="13.8" customHeight="1" x14ac:dyDescent="0.3">
      <c r="C55" s="155" t="s">
        <v>107</v>
      </c>
      <c r="D55" s="120"/>
      <c r="E55" s="152">
        <f t="shared" ref="E55:M55" si="42">ROUND((2+(1.1*E$14)^(1/2.4))*700*$E$5,-2)</f>
        <v>6900</v>
      </c>
      <c r="F55" s="120">
        <f t="shared" si="42"/>
        <v>8600</v>
      </c>
      <c r="G55" s="152">
        <f t="shared" si="42"/>
        <v>12500</v>
      </c>
      <c r="H55" s="120">
        <f t="shared" si="42"/>
        <v>15000</v>
      </c>
      <c r="I55" s="152">
        <f t="shared" si="42"/>
        <v>19400</v>
      </c>
      <c r="J55" s="120">
        <f t="shared" si="42"/>
        <v>22700</v>
      </c>
      <c r="K55" s="152">
        <f t="shared" si="42"/>
        <v>25300</v>
      </c>
      <c r="L55" s="120">
        <f t="shared" si="42"/>
        <v>27600</v>
      </c>
      <c r="M55" s="152">
        <f t="shared" si="42"/>
        <v>29600</v>
      </c>
    </row>
    <row r="56" spans="3:13" ht="13.8" customHeight="1" x14ac:dyDescent="0.25">
      <c r="C56" s="133" t="s">
        <v>108</v>
      </c>
      <c r="D56" s="120"/>
      <c r="E56" s="119">
        <f t="shared" ref="E56:M56" si="43">ROUNDUP(E55/5,-1)</f>
        <v>1380</v>
      </c>
      <c r="F56" s="120">
        <f t="shared" si="43"/>
        <v>1720</v>
      </c>
      <c r="G56" s="119">
        <f t="shared" si="43"/>
        <v>2500</v>
      </c>
      <c r="H56" s="120">
        <f t="shared" si="43"/>
        <v>3000</v>
      </c>
      <c r="I56" s="119">
        <f t="shared" si="43"/>
        <v>3880</v>
      </c>
      <c r="J56" s="120">
        <f t="shared" si="43"/>
        <v>4540</v>
      </c>
      <c r="K56" s="119">
        <f t="shared" si="43"/>
        <v>5060</v>
      </c>
      <c r="L56" s="120">
        <f t="shared" si="43"/>
        <v>5520</v>
      </c>
      <c r="M56" s="119">
        <f t="shared" si="43"/>
        <v>5920</v>
      </c>
    </row>
    <row r="57" spans="3:13" ht="13.8" customHeight="1" x14ac:dyDescent="0.3">
      <c r="C57" s="155" t="s">
        <v>109</v>
      </c>
      <c r="D57" s="120"/>
      <c r="E57" s="152">
        <f t="shared" ref="E57:M57" si="44">ROUND((1.8+(1.1*E$14)^(1/2.5))*600*$E$5,-2)</f>
        <v>5500</v>
      </c>
      <c r="F57" s="120">
        <f t="shared" si="44"/>
        <v>6800</v>
      </c>
      <c r="G57" s="152">
        <f t="shared" si="44"/>
        <v>9700</v>
      </c>
      <c r="H57" s="120">
        <f t="shared" si="44"/>
        <v>11600</v>
      </c>
      <c r="I57" s="152">
        <f t="shared" si="44"/>
        <v>14800</v>
      </c>
      <c r="J57" s="120">
        <f t="shared" si="44"/>
        <v>17200</v>
      </c>
      <c r="K57" s="152">
        <f t="shared" si="44"/>
        <v>19100</v>
      </c>
      <c r="L57" s="120">
        <f t="shared" si="44"/>
        <v>20800</v>
      </c>
      <c r="M57" s="152">
        <f t="shared" si="44"/>
        <v>22200</v>
      </c>
    </row>
    <row r="58" spans="3:13" ht="13.8" customHeight="1" x14ac:dyDescent="0.25">
      <c r="C58" s="133" t="s">
        <v>110</v>
      </c>
      <c r="D58" s="120"/>
      <c r="E58" s="119">
        <f t="shared" ref="E58:M58" si="45">ROUNDUP(E57/5,-1)</f>
        <v>1100</v>
      </c>
      <c r="F58" s="120">
        <f t="shared" si="45"/>
        <v>1360</v>
      </c>
      <c r="G58" s="119">
        <f t="shared" si="45"/>
        <v>1940</v>
      </c>
      <c r="H58" s="120">
        <f t="shared" si="45"/>
        <v>2320</v>
      </c>
      <c r="I58" s="119">
        <f t="shared" si="45"/>
        <v>2960</v>
      </c>
      <c r="J58" s="120">
        <f t="shared" si="45"/>
        <v>3440</v>
      </c>
      <c r="K58" s="119">
        <f t="shared" si="45"/>
        <v>3820</v>
      </c>
      <c r="L58" s="120">
        <f t="shared" si="45"/>
        <v>4160</v>
      </c>
      <c r="M58" s="119">
        <f t="shared" si="45"/>
        <v>4440</v>
      </c>
    </row>
    <row r="59" spans="3:13" ht="13.8" customHeight="1" x14ac:dyDescent="0.3">
      <c r="C59" s="155" t="s">
        <v>149</v>
      </c>
      <c r="D59" s="120"/>
      <c r="E59" s="152">
        <f t="shared" ref="E59:M59" si="46">ROUND((3.2+(1.1*E$14)^(1/1.4))*300*$E$5,-2)</f>
        <v>8400</v>
      </c>
      <c r="F59" s="120">
        <f t="shared" si="46"/>
        <v>13000</v>
      </c>
      <c r="G59" s="152">
        <f t="shared" si="46"/>
        <v>26900</v>
      </c>
      <c r="H59" s="120">
        <f t="shared" si="46"/>
        <v>38100</v>
      </c>
      <c r="I59" s="152">
        <f t="shared" si="46"/>
        <v>61700</v>
      </c>
      <c r="J59" s="120">
        <f t="shared" si="46"/>
        <v>82000</v>
      </c>
      <c r="K59" s="152">
        <f t="shared" si="46"/>
        <v>100400</v>
      </c>
      <c r="L59" s="120">
        <f t="shared" si="46"/>
        <v>117600</v>
      </c>
      <c r="M59" s="152">
        <f t="shared" si="46"/>
        <v>133800</v>
      </c>
    </row>
    <row r="60" spans="3:13" ht="13.8" customHeight="1" x14ac:dyDescent="0.25">
      <c r="C60" s="133" t="s">
        <v>122</v>
      </c>
      <c r="D60" s="120"/>
      <c r="E60" s="119">
        <f t="shared" ref="E60:M60" si="47">ROUNDUP(E59/5,-1)</f>
        <v>1680</v>
      </c>
      <c r="F60" s="120">
        <f t="shared" si="47"/>
        <v>2600</v>
      </c>
      <c r="G60" s="119">
        <f t="shared" si="47"/>
        <v>5380</v>
      </c>
      <c r="H60" s="120">
        <f t="shared" si="47"/>
        <v>7620</v>
      </c>
      <c r="I60" s="119">
        <f t="shared" si="47"/>
        <v>12340</v>
      </c>
      <c r="J60" s="120">
        <f t="shared" si="47"/>
        <v>16400</v>
      </c>
      <c r="K60" s="119">
        <f t="shared" si="47"/>
        <v>20080</v>
      </c>
      <c r="L60" s="120">
        <f t="shared" si="47"/>
        <v>23520</v>
      </c>
      <c r="M60" s="119">
        <f t="shared" si="47"/>
        <v>26760</v>
      </c>
    </row>
    <row r="61" spans="3:13" ht="13.8" customHeight="1" x14ac:dyDescent="0.3">
      <c r="C61" s="155" t="s">
        <v>148</v>
      </c>
      <c r="D61" s="120"/>
      <c r="E61" s="152">
        <f t="shared" ref="E61:M61" si="48">ROUND((5+(1.3*E$14)^(1/2.02))*600*$E$5,-2)</f>
        <v>10500</v>
      </c>
      <c r="F61" s="120">
        <f t="shared" si="48"/>
        <v>13100</v>
      </c>
      <c r="G61" s="152">
        <f t="shared" si="48"/>
        <v>19600</v>
      </c>
      <c r="H61" s="120">
        <f t="shared" si="48"/>
        <v>24100</v>
      </c>
      <c r="I61" s="152">
        <f t="shared" si="48"/>
        <v>32300</v>
      </c>
      <c r="J61" s="120">
        <f t="shared" si="48"/>
        <v>38600</v>
      </c>
      <c r="K61" s="152">
        <f t="shared" si="48"/>
        <v>43900</v>
      </c>
      <c r="L61" s="120">
        <f t="shared" si="48"/>
        <v>48600</v>
      </c>
      <c r="M61" s="152">
        <f t="shared" si="48"/>
        <v>52800</v>
      </c>
    </row>
    <row r="62" spans="3:13" ht="13.8" customHeight="1" x14ac:dyDescent="0.25">
      <c r="C62" s="133" t="s">
        <v>123</v>
      </c>
      <c r="D62" s="120"/>
      <c r="E62" s="119">
        <f t="shared" ref="E62:M62" si="49">ROUNDUP(E61/5,-1)</f>
        <v>2100</v>
      </c>
      <c r="F62" s="120">
        <f t="shared" si="49"/>
        <v>2620</v>
      </c>
      <c r="G62" s="119">
        <f t="shared" si="49"/>
        <v>3920</v>
      </c>
      <c r="H62" s="120">
        <f t="shared" si="49"/>
        <v>4820</v>
      </c>
      <c r="I62" s="119">
        <f t="shared" si="49"/>
        <v>6460</v>
      </c>
      <c r="J62" s="120">
        <f t="shared" si="49"/>
        <v>7720</v>
      </c>
      <c r="K62" s="119">
        <f t="shared" si="49"/>
        <v>8780</v>
      </c>
      <c r="L62" s="120">
        <f t="shared" si="49"/>
        <v>9720</v>
      </c>
      <c r="M62" s="119">
        <f t="shared" si="49"/>
        <v>10560</v>
      </c>
    </row>
    <row r="63" spans="3:13" ht="13.8" customHeight="1" x14ac:dyDescent="0.25">
      <c r="C63" s="132" t="s">
        <v>64</v>
      </c>
      <c r="D63" s="120"/>
      <c r="E63" s="119">
        <f t="shared" ref="E63:M63" si="50">ROUND(2000+(1+(1.1*E$14)^(1/1.65))*620*$E$5,-2)</f>
        <v>12400</v>
      </c>
      <c r="F63" s="120">
        <f t="shared" si="50"/>
        <v>17300</v>
      </c>
      <c r="G63" s="119">
        <f t="shared" si="50"/>
        <v>31100</v>
      </c>
      <c r="H63" s="120">
        <f t="shared" si="50"/>
        <v>41300</v>
      </c>
      <c r="I63" s="119">
        <f t="shared" si="50"/>
        <v>61400</v>
      </c>
      <c r="J63" s="120">
        <f t="shared" si="50"/>
        <v>77700</v>
      </c>
      <c r="K63" s="119">
        <f t="shared" si="50"/>
        <v>91900</v>
      </c>
      <c r="L63" s="120">
        <f t="shared" si="50"/>
        <v>104800</v>
      </c>
      <c r="M63" s="119">
        <f t="shared" si="50"/>
        <v>116700</v>
      </c>
    </row>
    <row r="64" spans="3:13" ht="13.8" customHeight="1" x14ac:dyDescent="0.25">
      <c r="C64" s="133" t="s">
        <v>65</v>
      </c>
      <c r="D64" s="120"/>
      <c r="E64" s="119">
        <f t="shared" ref="E64:M64" si="51">ROUNDUP(E63/5,-1)</f>
        <v>2480</v>
      </c>
      <c r="F64" s="120">
        <f t="shared" si="51"/>
        <v>3460</v>
      </c>
      <c r="G64" s="119">
        <f t="shared" si="51"/>
        <v>6220</v>
      </c>
      <c r="H64" s="120">
        <f t="shared" si="51"/>
        <v>8260</v>
      </c>
      <c r="I64" s="119">
        <f t="shared" si="51"/>
        <v>12280</v>
      </c>
      <c r="J64" s="120">
        <f t="shared" si="51"/>
        <v>15540</v>
      </c>
      <c r="K64" s="119">
        <f t="shared" si="51"/>
        <v>18380</v>
      </c>
      <c r="L64" s="120">
        <f t="shared" si="51"/>
        <v>20960</v>
      </c>
      <c r="M64" s="119">
        <f t="shared" si="51"/>
        <v>23340</v>
      </c>
    </row>
    <row r="65" spans="2:13" ht="13.8" customHeight="1" x14ac:dyDescent="0.3">
      <c r="C65" s="156" t="s">
        <v>147</v>
      </c>
      <c r="D65" s="120"/>
      <c r="E65" s="119">
        <f t="shared" ref="E65:M65" si="52">ROUND(10000+(1+(1.2*E$14)^(1/1.6))*950*$E$5,-2)</f>
        <v>27900</v>
      </c>
      <c r="F65" s="120">
        <f t="shared" si="52"/>
        <v>36900</v>
      </c>
      <c r="G65" s="119">
        <f t="shared" si="52"/>
        <v>62200</v>
      </c>
      <c r="H65" s="120">
        <f t="shared" si="52"/>
        <v>81400</v>
      </c>
      <c r="I65" s="119">
        <f t="shared" si="52"/>
        <v>119400</v>
      </c>
      <c r="J65" s="120">
        <f t="shared" si="52"/>
        <v>150600</v>
      </c>
      <c r="K65" s="119">
        <f t="shared" si="52"/>
        <v>178000</v>
      </c>
      <c r="L65" s="120">
        <f t="shared" si="52"/>
        <v>203000</v>
      </c>
      <c r="M65" s="119">
        <f t="shared" si="52"/>
        <v>226100</v>
      </c>
    </row>
    <row r="66" spans="2:13" ht="13.8" customHeight="1" x14ac:dyDescent="0.25">
      <c r="C66" s="133" t="s">
        <v>78</v>
      </c>
      <c r="D66" s="125"/>
      <c r="E66" s="124">
        <f t="shared" ref="E66:M66" si="53">ROUNDUP(E65/5,-1)</f>
        <v>5580</v>
      </c>
      <c r="F66" s="125">
        <f t="shared" si="53"/>
        <v>7380</v>
      </c>
      <c r="G66" s="124">
        <f t="shared" si="53"/>
        <v>12440</v>
      </c>
      <c r="H66" s="125">
        <f t="shared" si="53"/>
        <v>16280</v>
      </c>
      <c r="I66" s="124">
        <f t="shared" si="53"/>
        <v>23880</v>
      </c>
      <c r="J66" s="125">
        <f t="shared" si="53"/>
        <v>30120</v>
      </c>
      <c r="K66" s="124">
        <f t="shared" si="53"/>
        <v>35600</v>
      </c>
      <c r="L66" s="125">
        <f t="shared" si="53"/>
        <v>40600</v>
      </c>
      <c r="M66" s="124">
        <f t="shared" si="53"/>
        <v>45220</v>
      </c>
    </row>
    <row r="67" spans="2:13" ht="13.8" customHeight="1" x14ac:dyDescent="0.25"/>
    <row r="68" spans="2:13" ht="13.8" customHeight="1" x14ac:dyDescent="0.25"/>
    <row r="69" spans="2:13" ht="13.8" customHeight="1" x14ac:dyDescent="0.25"/>
    <row r="70" spans="2:13" ht="13.8" customHeight="1" x14ac:dyDescent="0.25"/>
    <row r="71" spans="2:13" ht="13.8" customHeight="1" x14ac:dyDescent="0.25"/>
    <row r="72" spans="2:13" ht="13.8" customHeight="1" x14ac:dyDescent="0.25"/>
    <row r="73" spans="2:13" ht="13.8" customHeight="1" x14ac:dyDescent="0.25"/>
    <row r="74" spans="2:13" ht="12.75" customHeight="1" x14ac:dyDescent="0.25">
      <c r="B74" s="54"/>
      <c r="D74" s="139"/>
      <c r="E74" s="140"/>
      <c r="F74" s="140"/>
      <c r="G74" s="140"/>
      <c r="H74" s="139"/>
      <c r="I74" s="140"/>
      <c r="J74" s="139"/>
      <c r="K74" s="140"/>
      <c r="L74" s="140"/>
      <c r="M74" s="140"/>
    </row>
    <row r="75" spans="2:13" ht="25.8" customHeight="1" x14ac:dyDescent="0.25">
      <c r="C75" s="138" t="s">
        <v>31</v>
      </c>
      <c r="D75" s="139"/>
      <c r="E75" s="140"/>
      <c r="F75" s="140"/>
      <c r="G75" s="140"/>
      <c r="H75" s="141"/>
      <c r="I75" s="140"/>
      <c r="J75" s="140"/>
      <c r="K75" s="140"/>
      <c r="L75" s="140"/>
      <c r="M75" s="108" t="s">
        <v>171</v>
      </c>
    </row>
    <row r="76" spans="2:13" ht="12.6" customHeight="1" x14ac:dyDescent="0.25">
      <c r="C76" s="104" t="s">
        <v>134</v>
      </c>
      <c r="D76" s="139"/>
      <c r="E76" s="105"/>
      <c r="F76" s="105"/>
      <c r="G76" s="105"/>
      <c r="H76" s="141"/>
      <c r="I76" s="140"/>
      <c r="J76" s="140"/>
      <c r="K76" s="140"/>
      <c r="L76" s="140"/>
      <c r="M76" s="108" t="s">
        <v>10</v>
      </c>
    </row>
    <row r="77" spans="2:13" ht="12.6" customHeight="1" x14ac:dyDescent="0.25">
      <c r="C77" s="109" t="s">
        <v>28</v>
      </c>
      <c r="D77" s="142"/>
      <c r="E77" s="105"/>
      <c r="F77" s="106"/>
      <c r="G77" s="106"/>
      <c r="H77" s="143"/>
      <c r="I77" s="106"/>
      <c r="J77" s="106"/>
      <c r="K77" s="142"/>
      <c r="L77" s="144"/>
      <c r="M77" s="108" t="s">
        <v>63</v>
      </c>
    </row>
    <row r="78" spans="2:13" ht="13.2" x14ac:dyDescent="0.25">
      <c r="C78" s="1"/>
      <c r="D78" s="1"/>
      <c r="E78" s="34"/>
      <c r="F78" s="34"/>
      <c r="G78" s="34"/>
      <c r="H78" s="34"/>
      <c r="I78" s="34"/>
      <c r="J78" s="33"/>
      <c r="K78" s="33"/>
      <c r="L78" s="34"/>
      <c r="M78" s="34"/>
    </row>
  </sheetData>
  <sheetProtection algorithmName="SHA-512" hashValue="vgmT3Xhyh852t/OP4AH9nAkVu6HmNoVmQV373jfy+l8hQ6bygf52kP1kStmQeGAVIttbHRMXOhkfhattkQR8fA==" saltValue="KkeDPVOZoeLzYTJupcer6w==" spinCount="100000" sheet="1" selectLockedCells="1" selectUnlockedCells="1"/>
  <printOptions horizontalCentered="1" verticalCentered="1"/>
  <pageMargins left="0.23622047244094491" right="0.15748031496062992" top="0.15748031496062992" bottom="0.15748031496062992" header="0.35433070866141736" footer="0"/>
  <pageSetup paperSize="9" scale="79" orientation="portrait" r:id="rId1"/>
  <headerFooter alignWithMargins="0"/>
  <ignoredErrors>
    <ignoredError sqref="I23:M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6"/>
  <sheetViews>
    <sheetView tabSelected="1" showRuler="0" zoomScale="110" zoomScaleNormal="110" zoomScaleSheetLayoutView="100" workbookViewId="0">
      <selection activeCell="W28" sqref="W28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41.44140625" style="4" customWidth="1"/>
    <col min="4" max="4" width="7.77734375" style="4" customWidth="1"/>
    <col min="5" max="13" width="7.77734375" style="2" customWidth="1"/>
    <col min="14" max="14" width="7.109375" style="2" customWidth="1"/>
    <col min="15" max="16" width="0.44140625" style="1" customWidth="1"/>
    <col min="17" max="21" width="6.6640625" style="1" customWidth="1"/>
    <col min="22" max="16384" width="9.109375" style="1"/>
  </cols>
  <sheetData>
    <row r="1" spans="1:16" ht="6" customHeight="1" x14ac:dyDescent="0.25">
      <c r="A1" s="37"/>
      <c r="B1" s="37"/>
      <c r="C1" s="55"/>
      <c r="D1" s="55"/>
      <c r="E1" s="32"/>
      <c r="F1" s="32"/>
      <c r="G1" s="32"/>
      <c r="H1" s="32"/>
      <c r="I1" s="32"/>
      <c r="J1" s="32"/>
      <c r="K1" s="32"/>
      <c r="L1" s="32"/>
      <c r="M1" s="32"/>
      <c r="N1" s="32"/>
      <c r="O1" s="37"/>
    </row>
    <row r="2" spans="1:16" ht="9.75" customHeight="1" x14ac:dyDescent="0.25">
      <c r="A2" s="3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9.15" customHeight="1" x14ac:dyDescent="0.35">
      <c r="A3" s="37"/>
      <c r="B3" s="30"/>
      <c r="C3" s="30"/>
      <c r="D3" s="30"/>
      <c r="E3" s="30"/>
      <c r="F3" s="38"/>
      <c r="G3" s="30"/>
      <c r="H3" s="30"/>
      <c r="I3" s="30"/>
      <c r="J3" s="30"/>
      <c r="K3" s="30"/>
      <c r="L3" s="30"/>
      <c r="M3" s="30"/>
      <c r="N3" s="30"/>
      <c r="O3" s="30"/>
    </row>
    <row r="4" spans="1:16" ht="3" customHeight="1" x14ac:dyDescent="0.25">
      <c r="A4" s="37"/>
      <c r="B4" s="30"/>
      <c r="C4" s="30"/>
      <c r="D4" s="30"/>
      <c r="E4" s="30"/>
      <c r="F4" s="39"/>
      <c r="G4" s="30"/>
      <c r="H4" s="32"/>
      <c r="I4" s="56"/>
      <c r="J4" s="56"/>
      <c r="K4" s="56"/>
      <c r="L4" s="56"/>
      <c r="M4" s="56"/>
      <c r="N4" s="56"/>
      <c r="O4" s="30"/>
    </row>
    <row r="5" spans="1:16" ht="16.5" customHeight="1" x14ac:dyDescent="0.25">
      <c r="A5" s="37"/>
      <c r="B5" s="30"/>
      <c r="C5" s="30"/>
      <c r="D5" s="30"/>
      <c r="E5" s="185">
        <f>1.038*1.151*1.107*1.024</f>
        <v>1.3543167651840002</v>
      </c>
      <c r="F5" s="39"/>
      <c r="G5" s="30"/>
      <c r="H5" s="56"/>
      <c r="I5" s="56"/>
      <c r="J5" s="56"/>
      <c r="K5" s="56"/>
      <c r="L5" s="56"/>
      <c r="M5" s="41" t="s">
        <v>62</v>
      </c>
      <c r="O5" s="37"/>
    </row>
    <row r="6" spans="1:16" ht="9.15" customHeight="1" x14ac:dyDescent="0.25">
      <c r="A6" s="37"/>
      <c r="B6" s="30"/>
      <c r="C6" s="30"/>
      <c r="D6" s="30"/>
      <c r="E6" s="30"/>
      <c r="F6" s="30"/>
      <c r="G6" s="30"/>
      <c r="H6" s="56"/>
      <c r="I6" s="56"/>
      <c r="J6" s="56"/>
      <c r="K6" s="56"/>
      <c r="L6" s="56"/>
      <c r="M6" s="56"/>
      <c r="N6" s="56"/>
      <c r="O6" s="37"/>
    </row>
    <row r="7" spans="1:16" ht="13.8" customHeight="1" x14ac:dyDescent="0.25">
      <c r="A7" s="37"/>
      <c r="B7" s="30"/>
      <c r="C7" s="30"/>
      <c r="D7" s="30"/>
      <c r="E7" s="30"/>
      <c r="F7" s="30"/>
      <c r="G7" s="30"/>
      <c r="H7" s="42"/>
      <c r="I7" s="30"/>
      <c r="J7" s="30"/>
      <c r="K7" s="30"/>
      <c r="L7" s="30"/>
      <c r="M7" s="30"/>
      <c r="N7" s="40"/>
      <c r="O7" s="37"/>
    </row>
    <row r="8" spans="1:16" s="3" customFormat="1" ht="13.8" customHeight="1" x14ac:dyDescent="0.25">
      <c r="A8" s="37"/>
      <c r="B8" s="43"/>
      <c r="C8" s="30"/>
      <c r="D8" s="30"/>
      <c r="E8" s="30"/>
      <c r="F8" s="31"/>
      <c r="G8" s="31"/>
      <c r="H8" s="31"/>
      <c r="I8" s="32"/>
      <c r="J8" s="31"/>
      <c r="K8" s="31"/>
      <c r="L8" s="31"/>
      <c r="M8" s="31"/>
      <c r="N8" s="31"/>
      <c r="O8" s="37"/>
      <c r="P8" s="1"/>
    </row>
    <row r="9" spans="1:16" s="3" customFormat="1" ht="9.15" customHeight="1" x14ac:dyDescent="0.25">
      <c r="A9" s="37"/>
      <c r="B9" s="43"/>
      <c r="C9" s="30"/>
      <c r="D9" s="30"/>
      <c r="E9" s="30"/>
      <c r="F9" s="31"/>
      <c r="G9" s="31"/>
      <c r="H9" s="31"/>
      <c r="I9" s="32" t="s">
        <v>0</v>
      </c>
      <c r="J9" s="31"/>
      <c r="K9" s="31"/>
      <c r="L9" s="31"/>
      <c r="M9" s="31"/>
      <c r="N9" s="31"/>
      <c r="O9" s="37"/>
      <c r="P9" s="1"/>
    </row>
    <row r="10" spans="1:16" ht="19.8" customHeight="1" x14ac:dyDescent="0.25">
      <c r="C10" s="129" t="s">
        <v>20</v>
      </c>
      <c r="D10" s="111">
        <f>'FLUXPAM 5'!E$9</f>
        <v>25</v>
      </c>
      <c r="E10" s="112">
        <f>'FLUXPAM 5'!F$9</f>
        <v>50</v>
      </c>
      <c r="F10" s="111">
        <f>'FLUXPAM 5'!G$9</f>
        <v>100</v>
      </c>
      <c r="G10" s="112">
        <f>'FLUXPAM 5'!H$9</f>
        <v>300</v>
      </c>
      <c r="H10" s="111">
        <f>'FLUXPAM 5'!I$9</f>
        <v>500</v>
      </c>
      <c r="I10" s="112">
        <f>'FLUXPAM 5'!J$9</f>
        <v>1000</v>
      </c>
      <c r="J10" s="114">
        <f>'FLUXPAM 5'!K$9</f>
        <v>1500</v>
      </c>
      <c r="K10" s="112">
        <f>'FLUXPAM 5'!L$9</f>
        <v>2000</v>
      </c>
      <c r="L10" s="114">
        <f>'FLUXPAM 5'!M$9</f>
        <v>2500</v>
      </c>
      <c r="M10" s="112">
        <f>'FLUXPAM 5'!N$9</f>
        <v>3000</v>
      </c>
      <c r="N10" s="1"/>
    </row>
    <row r="11" spans="1:16" ht="13.8" customHeight="1" x14ac:dyDescent="0.25">
      <c r="C11" s="134" t="s">
        <v>17</v>
      </c>
      <c r="D11" s="116">
        <f t="shared" ref="D11:M11" si="0">ROUND((1.9+(1.1*D$10)^(1/1.88))*1100*$E$5,-2)</f>
        <v>11500</v>
      </c>
      <c r="E11" s="117">
        <f t="shared" si="0"/>
        <v>15400</v>
      </c>
      <c r="F11" s="116">
        <f t="shared" si="0"/>
        <v>21000</v>
      </c>
      <c r="G11" s="117">
        <f t="shared" si="0"/>
        <v>35400</v>
      </c>
      <c r="H11" s="116">
        <f t="shared" si="0"/>
        <v>45600</v>
      </c>
      <c r="I11" s="117">
        <f t="shared" si="0"/>
        <v>64600</v>
      </c>
      <c r="J11" s="116">
        <f t="shared" si="0"/>
        <v>79500</v>
      </c>
      <c r="K11" s="117">
        <f t="shared" si="0"/>
        <v>92200</v>
      </c>
      <c r="L11" s="116">
        <f t="shared" si="0"/>
        <v>103400</v>
      </c>
      <c r="M11" s="117">
        <f t="shared" si="0"/>
        <v>113700</v>
      </c>
      <c r="N11" s="1"/>
    </row>
    <row r="12" spans="1:16" ht="13.8" customHeight="1" x14ac:dyDescent="0.25">
      <c r="C12" s="135" t="s">
        <v>43</v>
      </c>
      <c r="D12" s="119">
        <f t="shared" ref="D12:M12" si="1">ROUNDUP(D11/5,-1)</f>
        <v>2300</v>
      </c>
      <c r="E12" s="120">
        <f t="shared" si="1"/>
        <v>3080</v>
      </c>
      <c r="F12" s="119">
        <f t="shared" si="1"/>
        <v>4200</v>
      </c>
      <c r="G12" s="184">
        <f t="shared" si="1"/>
        <v>7080</v>
      </c>
      <c r="H12" s="119">
        <f t="shared" si="1"/>
        <v>9120</v>
      </c>
      <c r="I12" s="184">
        <f t="shared" si="1"/>
        <v>12920</v>
      </c>
      <c r="J12" s="119">
        <f t="shared" si="1"/>
        <v>15900</v>
      </c>
      <c r="K12" s="184">
        <f t="shared" si="1"/>
        <v>18440</v>
      </c>
      <c r="L12" s="119">
        <f t="shared" si="1"/>
        <v>20680</v>
      </c>
      <c r="M12" s="184">
        <f t="shared" si="1"/>
        <v>22740</v>
      </c>
      <c r="N12" s="1"/>
    </row>
    <row r="13" spans="1:16" ht="13.8" customHeight="1" x14ac:dyDescent="0.25">
      <c r="C13" s="136" t="s">
        <v>139</v>
      </c>
      <c r="D13" s="119">
        <f t="shared" ref="D13:M13" si="2">ROUND((0.5+(0.8*D$10)^(1/1.8))*560*$E$5,-2)</f>
        <v>4400</v>
      </c>
      <c r="E13" s="184">
        <f t="shared" si="2"/>
        <v>6300</v>
      </c>
      <c r="F13" s="119">
        <f t="shared" si="2"/>
        <v>9000</v>
      </c>
      <c r="G13" s="184">
        <f t="shared" si="2"/>
        <v>16300</v>
      </c>
      <c r="H13" s="119">
        <f t="shared" si="2"/>
        <v>21500</v>
      </c>
      <c r="I13" s="184">
        <f t="shared" si="2"/>
        <v>31500</v>
      </c>
      <c r="J13" s="119">
        <f t="shared" si="2"/>
        <v>39300</v>
      </c>
      <c r="K13" s="184">
        <f t="shared" si="2"/>
        <v>46100</v>
      </c>
      <c r="L13" s="119">
        <f t="shared" si="2"/>
        <v>52100</v>
      </c>
      <c r="M13" s="184">
        <f t="shared" si="2"/>
        <v>57600</v>
      </c>
      <c r="N13" s="1"/>
    </row>
    <row r="14" spans="1:16" ht="13.8" customHeight="1" x14ac:dyDescent="0.25">
      <c r="C14" s="135" t="s">
        <v>140</v>
      </c>
      <c r="D14" s="119">
        <f t="shared" ref="D14:M14" si="3">ROUNDUP(D13/5,-1)</f>
        <v>880</v>
      </c>
      <c r="E14" s="120">
        <f t="shared" si="3"/>
        <v>1260</v>
      </c>
      <c r="F14" s="119">
        <f t="shared" si="3"/>
        <v>1800</v>
      </c>
      <c r="G14" s="184">
        <f t="shared" si="3"/>
        <v>3260</v>
      </c>
      <c r="H14" s="119">
        <f t="shared" si="3"/>
        <v>4300</v>
      </c>
      <c r="I14" s="184">
        <f t="shared" si="3"/>
        <v>6300</v>
      </c>
      <c r="J14" s="119">
        <f t="shared" si="3"/>
        <v>7860</v>
      </c>
      <c r="K14" s="184">
        <f t="shared" si="3"/>
        <v>9220</v>
      </c>
      <c r="L14" s="119">
        <f t="shared" si="3"/>
        <v>10420</v>
      </c>
      <c r="M14" s="184">
        <f t="shared" si="3"/>
        <v>11520</v>
      </c>
      <c r="N14" s="1"/>
    </row>
    <row r="15" spans="1:16" ht="13.8" customHeight="1" x14ac:dyDescent="0.25">
      <c r="B15" s="54"/>
      <c r="C15" s="136" t="s">
        <v>136</v>
      </c>
      <c r="D15" s="119">
        <f t="shared" ref="D15:M15" si="4">ROUND((0.5+(0.8*D$10)^(1/1.9))*400*$E$5,-2)</f>
        <v>2900</v>
      </c>
      <c r="E15" s="184">
        <f t="shared" si="4"/>
        <v>4000</v>
      </c>
      <c r="F15" s="119">
        <f t="shared" si="4"/>
        <v>5700</v>
      </c>
      <c r="G15" s="184">
        <f t="shared" si="4"/>
        <v>10000</v>
      </c>
      <c r="H15" s="119">
        <f t="shared" si="4"/>
        <v>13000</v>
      </c>
      <c r="I15" s="184">
        <f t="shared" si="4"/>
        <v>18500</v>
      </c>
      <c r="J15" s="119">
        <f t="shared" si="4"/>
        <v>22900</v>
      </c>
      <c r="K15" s="184">
        <f t="shared" si="4"/>
        <v>26600</v>
      </c>
      <c r="L15" s="119">
        <f t="shared" si="4"/>
        <v>29900</v>
      </c>
      <c r="M15" s="184">
        <f t="shared" si="4"/>
        <v>32800</v>
      </c>
      <c r="N15" s="1"/>
    </row>
    <row r="16" spans="1:16" ht="13.8" customHeight="1" x14ac:dyDescent="0.25">
      <c r="B16" s="54"/>
      <c r="C16" s="135" t="s">
        <v>137</v>
      </c>
      <c r="D16" s="119">
        <f t="shared" ref="D16:M16" si="5">ROUNDUP(D15/5,-1)</f>
        <v>580</v>
      </c>
      <c r="E16" s="120">
        <f t="shared" si="5"/>
        <v>800</v>
      </c>
      <c r="F16" s="119">
        <f t="shared" si="5"/>
        <v>1140</v>
      </c>
      <c r="G16" s="184">
        <f t="shared" si="5"/>
        <v>2000</v>
      </c>
      <c r="H16" s="119">
        <f t="shared" si="5"/>
        <v>2600</v>
      </c>
      <c r="I16" s="184">
        <f t="shared" si="5"/>
        <v>3700</v>
      </c>
      <c r="J16" s="119">
        <f t="shared" si="5"/>
        <v>4580</v>
      </c>
      <c r="K16" s="184">
        <f t="shared" si="5"/>
        <v>5320</v>
      </c>
      <c r="L16" s="119">
        <f t="shared" si="5"/>
        <v>5980</v>
      </c>
      <c r="M16" s="184">
        <f t="shared" si="5"/>
        <v>6560</v>
      </c>
      <c r="N16" s="1"/>
    </row>
    <row r="17" spans="2:14" ht="13.8" customHeight="1" x14ac:dyDescent="0.25">
      <c r="B17" s="54"/>
      <c r="C17" s="136" t="s">
        <v>154</v>
      </c>
      <c r="D17" s="119">
        <f t="shared" ref="D17:M17" si="6">ROUND((0.5+(0.8*D$10)^(1/1.9))*460*$E$5,-2)</f>
        <v>3300</v>
      </c>
      <c r="E17" s="184">
        <f t="shared" si="6"/>
        <v>4700</v>
      </c>
      <c r="F17" s="119">
        <f t="shared" si="6"/>
        <v>6600</v>
      </c>
      <c r="G17" s="184">
        <f t="shared" si="6"/>
        <v>11500</v>
      </c>
      <c r="H17" s="119">
        <f t="shared" si="6"/>
        <v>14900</v>
      </c>
      <c r="I17" s="184">
        <f t="shared" si="6"/>
        <v>21300</v>
      </c>
      <c r="J17" s="119">
        <f t="shared" si="6"/>
        <v>26300</v>
      </c>
      <c r="K17" s="184">
        <f t="shared" si="6"/>
        <v>30600</v>
      </c>
      <c r="L17" s="119">
        <f t="shared" si="6"/>
        <v>34300</v>
      </c>
      <c r="M17" s="184">
        <f t="shared" si="6"/>
        <v>37800</v>
      </c>
      <c r="N17" s="1"/>
    </row>
    <row r="18" spans="2:14" ht="13.8" customHeight="1" x14ac:dyDescent="0.25">
      <c r="B18" s="54"/>
      <c r="C18" s="135" t="s">
        <v>155</v>
      </c>
      <c r="D18" s="119">
        <f t="shared" ref="D18:M18" si="7">ROUNDUP(D17/5,-1)</f>
        <v>660</v>
      </c>
      <c r="E18" s="120">
        <f t="shared" si="7"/>
        <v>940</v>
      </c>
      <c r="F18" s="119">
        <f t="shared" si="7"/>
        <v>1320</v>
      </c>
      <c r="G18" s="184">
        <f t="shared" si="7"/>
        <v>2300</v>
      </c>
      <c r="H18" s="119">
        <f t="shared" si="7"/>
        <v>2980</v>
      </c>
      <c r="I18" s="184">
        <f t="shared" si="7"/>
        <v>4260</v>
      </c>
      <c r="J18" s="119">
        <f t="shared" si="7"/>
        <v>5260</v>
      </c>
      <c r="K18" s="184">
        <f t="shared" si="7"/>
        <v>6120</v>
      </c>
      <c r="L18" s="119">
        <f t="shared" si="7"/>
        <v>6860</v>
      </c>
      <c r="M18" s="184">
        <f t="shared" si="7"/>
        <v>7560</v>
      </c>
      <c r="N18" s="1"/>
    </row>
    <row r="19" spans="2:14" ht="13.8" customHeight="1" x14ac:dyDescent="0.25">
      <c r="B19" s="54"/>
      <c r="C19" s="136" t="s">
        <v>6</v>
      </c>
      <c r="D19" s="119"/>
      <c r="E19" s="120"/>
      <c r="F19" s="119">
        <f t="shared" ref="F19:M19" si="8">ROUND(F11*1.164,-2)</f>
        <v>24400</v>
      </c>
      <c r="G19" s="120">
        <f t="shared" si="8"/>
        <v>41200</v>
      </c>
      <c r="H19" s="119">
        <f t="shared" si="8"/>
        <v>53100</v>
      </c>
      <c r="I19" s="120">
        <f t="shared" si="8"/>
        <v>75200</v>
      </c>
      <c r="J19" s="119">
        <f t="shared" si="8"/>
        <v>92500</v>
      </c>
      <c r="K19" s="184">
        <f t="shared" si="8"/>
        <v>107300</v>
      </c>
      <c r="L19" s="119">
        <f t="shared" si="8"/>
        <v>120400</v>
      </c>
      <c r="M19" s="184">
        <f t="shared" si="8"/>
        <v>132300</v>
      </c>
      <c r="N19" s="1"/>
    </row>
    <row r="20" spans="2:14" ht="13.8" customHeight="1" x14ac:dyDescent="0.25">
      <c r="B20" s="54"/>
      <c r="C20" s="135" t="s">
        <v>44</v>
      </c>
      <c r="D20" s="119"/>
      <c r="E20" s="120"/>
      <c r="F20" s="119">
        <f t="shared" ref="F20:M20" si="9">ROUNDUP(F19/5,-1)</f>
        <v>4880</v>
      </c>
      <c r="G20" s="184">
        <f t="shared" si="9"/>
        <v>8240</v>
      </c>
      <c r="H20" s="119">
        <f t="shared" si="9"/>
        <v>10620</v>
      </c>
      <c r="I20" s="184">
        <f t="shared" si="9"/>
        <v>15040</v>
      </c>
      <c r="J20" s="119">
        <f t="shared" si="9"/>
        <v>18500</v>
      </c>
      <c r="K20" s="184">
        <f t="shared" si="9"/>
        <v>21460</v>
      </c>
      <c r="L20" s="119">
        <f t="shared" si="9"/>
        <v>24080</v>
      </c>
      <c r="M20" s="184">
        <f t="shared" si="9"/>
        <v>26460</v>
      </c>
      <c r="N20" s="1"/>
    </row>
    <row r="21" spans="2:14" ht="13.8" customHeight="1" x14ac:dyDescent="0.25">
      <c r="B21" s="54"/>
      <c r="C21" s="136" t="s">
        <v>71</v>
      </c>
      <c r="D21" s="119"/>
      <c r="E21" s="120"/>
      <c r="F21" s="119">
        <f t="shared" ref="F21:M21" si="10">ROUND(F11*1.1,-2)</f>
        <v>23100</v>
      </c>
      <c r="G21" s="120">
        <f t="shared" si="10"/>
        <v>38900</v>
      </c>
      <c r="H21" s="119">
        <f t="shared" si="10"/>
        <v>50200</v>
      </c>
      <c r="I21" s="120">
        <f t="shared" si="10"/>
        <v>71100</v>
      </c>
      <c r="J21" s="119">
        <f t="shared" si="10"/>
        <v>87500</v>
      </c>
      <c r="K21" s="120">
        <f t="shared" si="10"/>
        <v>101400</v>
      </c>
      <c r="L21" s="119">
        <f t="shared" si="10"/>
        <v>113700</v>
      </c>
      <c r="M21" s="120">
        <f t="shared" si="10"/>
        <v>125100</v>
      </c>
      <c r="N21" s="1"/>
    </row>
    <row r="22" spans="2:14" ht="13.8" customHeight="1" x14ac:dyDescent="0.25">
      <c r="B22" s="54"/>
      <c r="C22" s="135" t="s">
        <v>72</v>
      </c>
      <c r="D22" s="119"/>
      <c r="E22" s="120"/>
      <c r="F22" s="119">
        <f t="shared" ref="F22:M22" si="11">ROUNDUP(F21/5,-1)</f>
        <v>4620</v>
      </c>
      <c r="G22" s="184">
        <f t="shared" si="11"/>
        <v>7780</v>
      </c>
      <c r="H22" s="119">
        <f t="shared" si="11"/>
        <v>10040</v>
      </c>
      <c r="I22" s="184">
        <f t="shared" si="11"/>
        <v>14220</v>
      </c>
      <c r="J22" s="119">
        <f t="shared" si="11"/>
        <v>17500</v>
      </c>
      <c r="K22" s="184">
        <f t="shared" si="11"/>
        <v>20280</v>
      </c>
      <c r="L22" s="119">
        <f t="shared" si="11"/>
        <v>22740</v>
      </c>
      <c r="M22" s="184">
        <f t="shared" si="11"/>
        <v>25020</v>
      </c>
      <c r="N22" s="1"/>
    </row>
    <row r="23" spans="2:14" ht="13.8" customHeight="1" x14ac:dyDescent="0.25">
      <c r="C23" s="136" t="s">
        <v>18</v>
      </c>
      <c r="D23" s="119"/>
      <c r="E23" s="120"/>
      <c r="F23" s="119">
        <f t="shared" ref="F23:M23" si="12">ROUND(F11*1.1,-2)</f>
        <v>23100</v>
      </c>
      <c r="G23" s="120">
        <f t="shared" si="12"/>
        <v>38900</v>
      </c>
      <c r="H23" s="119">
        <f t="shared" si="12"/>
        <v>50200</v>
      </c>
      <c r="I23" s="120">
        <f t="shared" si="12"/>
        <v>71100</v>
      </c>
      <c r="J23" s="119">
        <f t="shared" si="12"/>
        <v>87500</v>
      </c>
      <c r="K23" s="120">
        <f t="shared" si="12"/>
        <v>101400</v>
      </c>
      <c r="L23" s="119">
        <f t="shared" si="12"/>
        <v>113700</v>
      </c>
      <c r="M23" s="120">
        <f t="shared" si="12"/>
        <v>125100</v>
      </c>
    </row>
    <row r="24" spans="2:14" ht="13.8" customHeight="1" x14ac:dyDescent="0.25">
      <c r="C24" s="135" t="s">
        <v>45</v>
      </c>
      <c r="D24" s="119"/>
      <c r="E24" s="120"/>
      <c r="F24" s="119">
        <f t="shared" ref="F24:M24" si="13">ROUNDUP(F23/5,-1)</f>
        <v>4620</v>
      </c>
      <c r="G24" s="184">
        <f t="shared" si="13"/>
        <v>7780</v>
      </c>
      <c r="H24" s="119">
        <f t="shared" si="13"/>
        <v>10040</v>
      </c>
      <c r="I24" s="184">
        <f t="shared" si="13"/>
        <v>14220</v>
      </c>
      <c r="J24" s="119">
        <f t="shared" si="13"/>
        <v>17500</v>
      </c>
      <c r="K24" s="184">
        <f t="shared" si="13"/>
        <v>20280</v>
      </c>
      <c r="L24" s="119">
        <f t="shared" si="13"/>
        <v>22740</v>
      </c>
      <c r="M24" s="184">
        <f t="shared" si="13"/>
        <v>25020</v>
      </c>
    </row>
    <row r="25" spans="2:14" ht="13.8" customHeight="1" x14ac:dyDescent="0.25">
      <c r="C25" s="136" t="s">
        <v>46</v>
      </c>
      <c r="D25" s="119"/>
      <c r="E25" s="120"/>
      <c r="F25" s="119">
        <f t="shared" ref="F25:M25" si="14">ROUND(F11*1.1,-2)</f>
        <v>23100</v>
      </c>
      <c r="G25" s="120">
        <f t="shared" si="14"/>
        <v>38900</v>
      </c>
      <c r="H25" s="119">
        <f t="shared" si="14"/>
        <v>50200</v>
      </c>
      <c r="I25" s="120">
        <f t="shared" si="14"/>
        <v>71100</v>
      </c>
      <c r="J25" s="119">
        <f t="shared" si="14"/>
        <v>87500</v>
      </c>
      <c r="K25" s="120">
        <f t="shared" si="14"/>
        <v>101400</v>
      </c>
      <c r="L25" s="119">
        <f t="shared" si="14"/>
        <v>113700</v>
      </c>
      <c r="M25" s="120">
        <f t="shared" si="14"/>
        <v>125100</v>
      </c>
    </row>
    <row r="26" spans="2:14" ht="13.8" customHeight="1" x14ac:dyDescent="0.25">
      <c r="C26" s="137" t="s">
        <v>47</v>
      </c>
      <c r="D26" s="124"/>
      <c r="E26" s="125"/>
      <c r="F26" s="124">
        <f t="shared" ref="F26:M26" si="15">ROUNDUP(F25/5,-1)</f>
        <v>4620</v>
      </c>
      <c r="G26" s="192">
        <f t="shared" si="15"/>
        <v>7780</v>
      </c>
      <c r="H26" s="124">
        <f t="shared" si="15"/>
        <v>10040</v>
      </c>
      <c r="I26" s="192">
        <f t="shared" si="15"/>
        <v>14220</v>
      </c>
      <c r="J26" s="124">
        <f t="shared" si="15"/>
        <v>17500</v>
      </c>
      <c r="K26" s="192">
        <f t="shared" si="15"/>
        <v>20280</v>
      </c>
      <c r="L26" s="124">
        <f t="shared" si="15"/>
        <v>22740</v>
      </c>
      <c r="M26" s="192">
        <f t="shared" si="15"/>
        <v>25020</v>
      </c>
    </row>
    <row r="27" spans="2:14" ht="19.8" customHeight="1" x14ac:dyDescent="0.25">
      <c r="C27" s="129" t="s">
        <v>131</v>
      </c>
      <c r="D27" s="112">
        <f>'FLUXPAM 5'!E$9</f>
        <v>25</v>
      </c>
      <c r="E27" s="111">
        <f>'FLUXPAM 5'!F$9</f>
        <v>50</v>
      </c>
      <c r="F27" s="112">
        <f>'FLUXPAM 5'!G$9</f>
        <v>100</v>
      </c>
      <c r="G27" s="111">
        <f>'FLUXPAM 5'!H$9</f>
        <v>300</v>
      </c>
      <c r="H27" s="112">
        <f>'FLUXPAM 5'!I$9</f>
        <v>500</v>
      </c>
      <c r="I27" s="114">
        <f>'FLUXPAM 5'!J$9</f>
        <v>1000</v>
      </c>
      <c r="J27" s="113">
        <f>'FLUXPAM 5'!K$9</f>
        <v>1500</v>
      </c>
      <c r="K27" s="114">
        <f>'FLUXPAM 5'!L$9</f>
        <v>2000</v>
      </c>
      <c r="L27" s="113">
        <f>'FLUXPAM 5'!M$9</f>
        <v>2500</v>
      </c>
      <c r="M27" s="114">
        <f>'FLUXPAM 5'!N$9</f>
        <v>3000</v>
      </c>
    </row>
    <row r="28" spans="2:14" ht="13.8" customHeight="1" x14ac:dyDescent="0.25">
      <c r="C28" s="136" t="s">
        <v>73</v>
      </c>
      <c r="D28" s="120"/>
      <c r="E28" s="119"/>
      <c r="F28" s="120">
        <f t="shared" ref="F28:M28" si="16">ROUND(8000+(1+(0.9*F$27)^(1/1.74))*850*$E$5,-2)</f>
        <v>24400</v>
      </c>
      <c r="G28" s="119">
        <f t="shared" si="16"/>
        <v>37900</v>
      </c>
      <c r="H28" s="120">
        <f t="shared" si="16"/>
        <v>47700</v>
      </c>
      <c r="I28" s="119">
        <f t="shared" si="16"/>
        <v>66600</v>
      </c>
      <c r="J28" s="120">
        <f t="shared" si="16"/>
        <v>81600</v>
      </c>
      <c r="K28" s="119">
        <f t="shared" si="16"/>
        <v>94700</v>
      </c>
      <c r="L28" s="120">
        <f t="shared" si="16"/>
        <v>106400</v>
      </c>
      <c r="M28" s="119">
        <f t="shared" si="16"/>
        <v>117100</v>
      </c>
    </row>
    <row r="29" spans="2:14" ht="13.8" customHeight="1" x14ac:dyDescent="0.25">
      <c r="C29" s="135" t="s">
        <v>138</v>
      </c>
      <c r="D29" s="120"/>
      <c r="E29" s="119"/>
      <c r="F29" s="120">
        <f t="shared" ref="F29:M29" si="17">ROUNDUP(F28/5,-1)</f>
        <v>4880</v>
      </c>
      <c r="G29" s="119">
        <f t="shared" si="17"/>
        <v>7580</v>
      </c>
      <c r="H29" s="120">
        <f t="shared" si="17"/>
        <v>9540</v>
      </c>
      <c r="I29" s="119">
        <f t="shared" si="17"/>
        <v>13320</v>
      </c>
      <c r="J29" s="120">
        <f t="shared" si="17"/>
        <v>16320</v>
      </c>
      <c r="K29" s="119">
        <f t="shared" si="17"/>
        <v>18940</v>
      </c>
      <c r="L29" s="120">
        <f t="shared" si="17"/>
        <v>21280</v>
      </c>
      <c r="M29" s="119">
        <f t="shared" si="17"/>
        <v>23420</v>
      </c>
    </row>
    <row r="30" spans="2:14" ht="13.8" customHeight="1" x14ac:dyDescent="0.25">
      <c r="C30" s="190" t="s">
        <v>159</v>
      </c>
      <c r="D30" s="191"/>
      <c r="E30" s="139"/>
      <c r="F30" s="191">
        <f t="shared" ref="F30:M30" si="18">ROUND(8000+(1+(0.9*F$27)^(1/1.74))*850*$E$5,-2)-ROUND(8000+(1+(0.9*F$27)^(1/1.74))*650*$E$5,-2)</f>
        <v>3800</v>
      </c>
      <c r="G30" s="139">
        <f t="shared" si="18"/>
        <v>7000</v>
      </c>
      <c r="H30" s="191">
        <f t="shared" si="18"/>
        <v>9300</v>
      </c>
      <c r="I30" s="139">
        <f t="shared" si="18"/>
        <v>13800</v>
      </c>
      <c r="J30" s="191">
        <f t="shared" si="18"/>
        <v>17300</v>
      </c>
      <c r="K30" s="139">
        <f t="shared" si="18"/>
        <v>20400</v>
      </c>
      <c r="L30" s="191">
        <f t="shared" si="18"/>
        <v>23200</v>
      </c>
      <c r="M30" s="139">
        <f t="shared" si="18"/>
        <v>25700</v>
      </c>
    </row>
    <row r="31" spans="2:14" ht="13.8" customHeight="1" x14ac:dyDescent="0.25">
      <c r="C31" s="137" t="s">
        <v>160</v>
      </c>
      <c r="D31" s="125"/>
      <c r="E31" s="124"/>
      <c r="F31" s="120">
        <f t="shared" ref="F31:M31" si="19">ROUNDUP(F30/5,-1)</f>
        <v>760</v>
      </c>
      <c r="G31" s="119">
        <f t="shared" si="19"/>
        <v>1400</v>
      </c>
      <c r="H31" s="120">
        <f t="shared" si="19"/>
        <v>1860</v>
      </c>
      <c r="I31" s="119">
        <f t="shared" si="19"/>
        <v>2760</v>
      </c>
      <c r="J31" s="120">
        <f t="shared" si="19"/>
        <v>3460</v>
      </c>
      <c r="K31" s="119">
        <f t="shared" si="19"/>
        <v>4080</v>
      </c>
      <c r="L31" s="120">
        <f t="shared" si="19"/>
        <v>4640</v>
      </c>
      <c r="M31" s="119">
        <f t="shared" si="19"/>
        <v>5140</v>
      </c>
    </row>
    <row r="32" spans="2:14" ht="13.8" customHeight="1" x14ac:dyDescent="0.25">
      <c r="C32" s="136" t="s">
        <v>132</v>
      </c>
      <c r="D32" s="120"/>
      <c r="E32" s="119"/>
      <c r="F32" s="120">
        <f t="shared" ref="F32:L32" si="20">ROUND(6000+(1+(0.43*F$27)^(1/1.74))*650*$E$5,-2)</f>
        <v>14500</v>
      </c>
      <c r="G32" s="119">
        <f t="shared" si="20"/>
        <v>21300</v>
      </c>
      <c r="H32" s="120">
        <f t="shared" si="20"/>
        <v>26200</v>
      </c>
      <c r="I32" s="119">
        <f t="shared" si="20"/>
        <v>35600</v>
      </c>
      <c r="J32" s="120">
        <f t="shared" si="20"/>
        <v>43100</v>
      </c>
      <c r="K32" s="119">
        <f t="shared" si="20"/>
        <v>49600</v>
      </c>
      <c r="L32" s="120">
        <f t="shared" si="20"/>
        <v>55500</v>
      </c>
      <c r="M32" s="119">
        <f>ROUND(6000+(1+(0.43*M$27)^(1/1.74))*650*$E$5,-2)</f>
        <v>60900</v>
      </c>
    </row>
    <row r="33" spans="1:15" ht="13.8" customHeight="1" x14ac:dyDescent="0.25">
      <c r="C33" s="135" t="s">
        <v>133</v>
      </c>
      <c r="D33" s="120"/>
      <c r="E33" s="119"/>
      <c r="F33" s="120">
        <f t="shared" ref="F33:M33" si="21">ROUNDUP(F32/5,-1)</f>
        <v>2900</v>
      </c>
      <c r="G33" s="119">
        <f t="shared" si="21"/>
        <v>4260</v>
      </c>
      <c r="H33" s="120">
        <f t="shared" si="21"/>
        <v>5240</v>
      </c>
      <c r="I33" s="119">
        <f t="shared" si="21"/>
        <v>7120</v>
      </c>
      <c r="J33" s="120">
        <f t="shared" si="21"/>
        <v>8620</v>
      </c>
      <c r="K33" s="119">
        <f t="shared" si="21"/>
        <v>9920</v>
      </c>
      <c r="L33" s="120">
        <f t="shared" si="21"/>
        <v>11100</v>
      </c>
      <c r="M33" s="119">
        <f t="shared" si="21"/>
        <v>12180</v>
      </c>
    </row>
    <row r="34" spans="1:15" x14ac:dyDescent="0.25">
      <c r="C34" s="190" t="s">
        <v>167</v>
      </c>
      <c r="D34" s="191"/>
      <c r="E34" s="139"/>
      <c r="F34" s="191">
        <f t="shared" ref="F34:M34" si="22">ROUND(8000+(1+(0.9*F$27)^(1/1.74))*850*$E$5,-2)-ROUND(8000+(1+(0.9*F$27)^(1/1.74))*700*$E$5,-2)</f>
        <v>2900</v>
      </c>
      <c r="G34" s="139">
        <f t="shared" si="22"/>
        <v>5300</v>
      </c>
      <c r="H34" s="191">
        <f t="shared" si="22"/>
        <v>7000</v>
      </c>
      <c r="I34" s="139">
        <f t="shared" si="22"/>
        <v>10400</v>
      </c>
      <c r="J34" s="191">
        <f t="shared" si="22"/>
        <v>13000</v>
      </c>
      <c r="K34" s="139">
        <f t="shared" si="22"/>
        <v>15300</v>
      </c>
      <c r="L34" s="191">
        <f t="shared" si="22"/>
        <v>17400</v>
      </c>
      <c r="M34" s="139">
        <f t="shared" si="22"/>
        <v>19300</v>
      </c>
    </row>
    <row r="35" spans="1:15" x14ac:dyDescent="0.25">
      <c r="C35" s="135" t="s">
        <v>168</v>
      </c>
      <c r="D35" s="120"/>
      <c r="E35" s="119"/>
      <c r="F35" s="120">
        <f t="shared" ref="F35:M35" si="23">ROUNDUP(F34/5,-1)</f>
        <v>580</v>
      </c>
      <c r="G35" s="119">
        <f t="shared" si="23"/>
        <v>1060</v>
      </c>
      <c r="H35" s="120">
        <f t="shared" si="23"/>
        <v>1400</v>
      </c>
      <c r="I35" s="119">
        <f t="shared" si="23"/>
        <v>2080</v>
      </c>
      <c r="J35" s="120">
        <f t="shared" si="23"/>
        <v>2600</v>
      </c>
      <c r="K35" s="119">
        <f t="shared" si="23"/>
        <v>3060</v>
      </c>
      <c r="L35" s="120">
        <f t="shared" si="23"/>
        <v>3480</v>
      </c>
      <c r="M35" s="119">
        <f t="shared" si="23"/>
        <v>3860</v>
      </c>
    </row>
    <row r="36" spans="1:15" ht="13.8" customHeight="1" x14ac:dyDescent="0.25">
      <c r="C36" s="136" t="s">
        <v>169</v>
      </c>
      <c r="D36" s="120"/>
      <c r="E36" s="119"/>
      <c r="F36" s="120">
        <f>ROUND((1+(0.18*F$27)^(1/1.27))*200*$E$5,-2)</f>
        <v>2900</v>
      </c>
      <c r="G36" s="119">
        <f t="shared" ref="G36:M36" si="24">ROUND((1+(0.18*G$27)^(1/1.27))*200*$E$5,-2)</f>
        <v>6500</v>
      </c>
      <c r="H36" s="120">
        <f t="shared" si="24"/>
        <v>9600</v>
      </c>
      <c r="I36" s="119">
        <f t="shared" si="24"/>
        <v>16400</v>
      </c>
      <c r="J36" s="120">
        <f t="shared" si="24"/>
        <v>22500</v>
      </c>
      <c r="K36" s="119">
        <f t="shared" si="24"/>
        <v>28200</v>
      </c>
      <c r="L36" s="120">
        <f t="shared" si="24"/>
        <v>33500</v>
      </c>
      <c r="M36" s="119">
        <f t="shared" si="24"/>
        <v>38700</v>
      </c>
    </row>
    <row r="37" spans="1:15" ht="13.8" customHeight="1" x14ac:dyDescent="0.25">
      <c r="C37" s="137" t="s">
        <v>170</v>
      </c>
      <c r="D37" s="125"/>
      <c r="E37" s="124"/>
      <c r="F37" s="120">
        <f t="shared" ref="F37:M37" si="25">ROUNDUP(F36/5,-1)</f>
        <v>580</v>
      </c>
      <c r="G37" s="119">
        <f t="shared" si="25"/>
        <v>1300</v>
      </c>
      <c r="H37" s="120">
        <f t="shared" si="25"/>
        <v>1920</v>
      </c>
      <c r="I37" s="119">
        <f t="shared" si="25"/>
        <v>3280</v>
      </c>
      <c r="J37" s="120">
        <f t="shared" si="25"/>
        <v>4500</v>
      </c>
      <c r="K37" s="119">
        <f t="shared" si="25"/>
        <v>5640</v>
      </c>
      <c r="L37" s="120">
        <f t="shared" si="25"/>
        <v>6700</v>
      </c>
      <c r="M37" s="119">
        <f t="shared" si="25"/>
        <v>7740</v>
      </c>
    </row>
    <row r="38" spans="1:15" ht="13.8" customHeight="1" x14ac:dyDescent="0.25"/>
    <row r="39" spans="1:15" ht="15.6" customHeight="1" x14ac:dyDescent="0.25">
      <c r="A39" s="37"/>
      <c r="B39" s="37"/>
      <c r="C39" s="176" t="s">
        <v>53</v>
      </c>
      <c r="D39" s="95"/>
      <c r="E39" s="95"/>
      <c r="F39" s="96"/>
      <c r="G39" s="96"/>
      <c r="H39" s="96"/>
      <c r="I39" s="96"/>
      <c r="J39" s="96"/>
      <c r="K39" s="96"/>
      <c r="L39" s="96"/>
      <c r="M39" s="96"/>
      <c r="N39" s="1"/>
      <c r="O39" s="37"/>
    </row>
    <row r="40" spans="1:15" ht="13.8" customHeight="1" x14ac:dyDescent="0.25">
      <c r="A40" s="37"/>
      <c r="B40" s="37"/>
      <c r="C40" s="237" t="s">
        <v>83</v>
      </c>
      <c r="D40" s="238"/>
      <c r="E40" s="97" t="s">
        <v>172</v>
      </c>
      <c r="F40" s="97"/>
      <c r="G40" s="97"/>
      <c r="H40" s="97"/>
      <c r="I40" s="97"/>
      <c r="J40" s="97"/>
      <c r="K40" s="97"/>
      <c r="L40" s="97"/>
      <c r="M40" s="97"/>
      <c r="N40" s="1"/>
      <c r="O40" s="37"/>
    </row>
    <row r="41" spans="1:15" ht="13.8" customHeight="1" x14ac:dyDescent="0.25">
      <c r="A41" s="37"/>
      <c r="B41" s="37"/>
      <c r="C41" s="235" t="s">
        <v>54</v>
      </c>
      <c r="D41" s="236"/>
      <c r="E41" s="98" t="s">
        <v>55</v>
      </c>
      <c r="F41" s="98"/>
      <c r="G41" s="98"/>
      <c r="H41" s="98"/>
      <c r="I41" s="98"/>
      <c r="J41" s="98"/>
      <c r="K41" s="98"/>
      <c r="L41" s="98"/>
      <c r="M41" s="98"/>
      <c r="N41" s="1"/>
      <c r="O41" s="37"/>
    </row>
    <row r="42" spans="1:15" ht="13.8" customHeight="1" x14ac:dyDescent="0.25">
      <c r="A42" s="37"/>
      <c r="B42" s="37"/>
      <c r="C42" s="235"/>
      <c r="D42" s="236"/>
      <c r="E42" s="98" t="s">
        <v>161</v>
      </c>
      <c r="F42" s="98"/>
      <c r="G42" s="98"/>
      <c r="H42" s="98"/>
      <c r="I42" s="98"/>
      <c r="J42" s="98"/>
      <c r="K42" s="98"/>
      <c r="L42" s="98"/>
      <c r="M42" s="98"/>
      <c r="N42" s="1"/>
      <c r="O42" s="37"/>
    </row>
    <row r="43" spans="1:15" ht="13.8" customHeight="1" x14ac:dyDescent="0.25">
      <c r="A43" s="37"/>
      <c r="B43" s="37"/>
      <c r="C43" s="235"/>
      <c r="D43" s="236"/>
      <c r="E43" s="98" t="s">
        <v>124</v>
      </c>
      <c r="F43" s="98"/>
      <c r="G43" s="98"/>
      <c r="H43" s="98"/>
      <c r="I43" s="98"/>
      <c r="J43" s="98"/>
      <c r="K43" s="98"/>
      <c r="L43" s="98"/>
      <c r="M43" s="98"/>
      <c r="O43" s="37"/>
    </row>
    <row r="44" spans="1:15" ht="13.8" customHeight="1" x14ac:dyDescent="0.25">
      <c r="A44" s="37"/>
      <c r="B44" s="37"/>
      <c r="C44" s="235" t="s">
        <v>56</v>
      </c>
      <c r="D44" s="236"/>
      <c r="E44" s="98" t="s">
        <v>57</v>
      </c>
      <c r="F44" s="98"/>
      <c r="G44" s="98"/>
      <c r="H44" s="98"/>
      <c r="I44" s="98"/>
      <c r="J44" s="98"/>
      <c r="K44" s="98"/>
      <c r="L44" s="98"/>
      <c r="M44" s="98"/>
      <c r="O44" s="37"/>
    </row>
    <row r="45" spans="1:15" ht="13.8" customHeight="1" x14ac:dyDescent="0.25">
      <c r="A45" s="37"/>
      <c r="B45" s="37"/>
      <c r="C45" s="235"/>
      <c r="D45" s="236"/>
      <c r="E45" s="98" t="s">
        <v>173</v>
      </c>
      <c r="F45" s="98"/>
      <c r="G45" s="98"/>
      <c r="H45" s="98"/>
      <c r="I45" s="98"/>
      <c r="J45" s="98"/>
      <c r="K45" s="98"/>
      <c r="L45" s="98"/>
      <c r="M45" s="98"/>
      <c r="O45" s="37"/>
    </row>
    <row r="46" spans="1:15" ht="15.6" customHeight="1" x14ac:dyDescent="0.25">
      <c r="A46" s="37"/>
      <c r="B46" s="37"/>
      <c r="C46" s="176" t="s">
        <v>58</v>
      </c>
      <c r="D46" s="95"/>
      <c r="E46" s="95"/>
      <c r="F46" s="96"/>
      <c r="G46" s="96"/>
      <c r="H46" s="96"/>
      <c r="I46" s="96"/>
      <c r="J46" s="96"/>
      <c r="K46" s="96"/>
      <c r="L46" s="96"/>
      <c r="M46" s="96"/>
      <c r="O46" s="37"/>
    </row>
    <row r="47" spans="1:15" ht="13.8" customHeight="1" x14ac:dyDescent="0.25">
      <c r="A47" s="37"/>
      <c r="B47" s="37"/>
      <c r="C47" s="235" t="s">
        <v>67</v>
      </c>
      <c r="D47" s="236"/>
      <c r="E47" s="98" t="s">
        <v>84</v>
      </c>
      <c r="F47" s="98"/>
      <c r="G47" s="98"/>
      <c r="H47" s="98"/>
      <c r="I47" s="98"/>
      <c r="J47" s="98"/>
      <c r="K47" s="98"/>
      <c r="L47" s="98"/>
      <c r="M47" s="98"/>
      <c r="N47" s="1"/>
      <c r="O47" s="37"/>
    </row>
    <row r="48" spans="1:15" ht="13.8" customHeight="1" x14ac:dyDescent="0.25">
      <c r="A48" s="37"/>
      <c r="B48" s="37"/>
      <c r="C48" s="235"/>
      <c r="D48" s="236"/>
      <c r="E48" s="98" t="s">
        <v>85</v>
      </c>
      <c r="F48" s="98"/>
      <c r="G48" s="98"/>
      <c r="H48" s="98"/>
      <c r="I48" s="98"/>
      <c r="J48" s="98"/>
      <c r="K48" s="98"/>
      <c r="L48" s="98"/>
      <c r="M48" s="98"/>
      <c r="N48" s="1"/>
      <c r="O48" s="37"/>
    </row>
    <row r="49" spans="1:17" ht="13.8" customHeight="1" x14ac:dyDescent="0.25">
      <c r="A49" s="37"/>
      <c r="B49" s="37"/>
      <c r="C49" s="235" t="s">
        <v>60</v>
      </c>
      <c r="D49" s="236"/>
      <c r="E49" s="98" t="s">
        <v>86</v>
      </c>
      <c r="F49" s="98"/>
      <c r="G49" s="98"/>
      <c r="H49" s="98"/>
      <c r="I49" s="98"/>
      <c r="J49" s="98"/>
      <c r="K49" s="98"/>
      <c r="L49" s="98"/>
      <c r="M49" s="98"/>
      <c r="N49" s="1"/>
      <c r="O49" s="37"/>
    </row>
    <row r="50" spans="1:17" ht="13.8" customHeight="1" x14ac:dyDescent="0.25">
      <c r="A50" s="37"/>
      <c r="B50" s="37"/>
      <c r="C50" s="235" t="s">
        <v>68</v>
      </c>
      <c r="D50" s="236"/>
      <c r="E50" s="98" t="s">
        <v>87</v>
      </c>
      <c r="F50" s="98"/>
      <c r="G50" s="98"/>
      <c r="H50" s="98"/>
      <c r="I50" s="98"/>
      <c r="J50" s="98"/>
      <c r="K50" s="98"/>
      <c r="L50" s="98"/>
      <c r="M50" s="98"/>
      <c r="N50" s="1"/>
      <c r="O50" s="37"/>
    </row>
    <row r="51" spans="1:17" ht="13.8" customHeight="1" x14ac:dyDescent="0.25">
      <c r="A51" s="37"/>
      <c r="B51" s="37"/>
      <c r="C51" s="235" t="s">
        <v>88</v>
      </c>
      <c r="D51" s="236"/>
      <c r="E51" s="98" t="s">
        <v>87</v>
      </c>
      <c r="F51" s="98"/>
      <c r="G51" s="98"/>
      <c r="H51" s="98"/>
      <c r="I51" s="98"/>
      <c r="J51" s="98"/>
      <c r="K51" s="98"/>
      <c r="L51" s="98"/>
      <c r="M51" s="98"/>
      <c r="N51" s="1"/>
      <c r="O51" s="37"/>
    </row>
    <row r="52" spans="1:17" ht="13.8" customHeight="1" x14ac:dyDescent="0.25">
      <c r="A52" s="37"/>
      <c r="B52" s="37"/>
      <c r="C52" s="235" t="s">
        <v>89</v>
      </c>
      <c r="D52" s="236"/>
      <c r="E52" s="98" t="s">
        <v>90</v>
      </c>
      <c r="F52" s="98"/>
      <c r="G52" s="98"/>
      <c r="H52" s="98"/>
      <c r="I52" s="98"/>
      <c r="J52" s="98"/>
      <c r="K52" s="98"/>
      <c r="L52" s="98"/>
      <c r="M52" s="98"/>
      <c r="O52" s="37"/>
    </row>
    <row r="53" spans="1:17" ht="15.6" customHeight="1" x14ac:dyDescent="0.25">
      <c r="A53" s="37"/>
      <c r="B53" s="37"/>
      <c r="C53" s="176" t="s">
        <v>59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O53" s="37"/>
    </row>
    <row r="54" spans="1:17" ht="13.8" customHeight="1" x14ac:dyDescent="0.25">
      <c r="A54" s="37"/>
      <c r="B54" s="37"/>
      <c r="C54" s="237" t="s">
        <v>60</v>
      </c>
      <c r="D54" s="237"/>
      <c r="E54" s="97" t="s">
        <v>91</v>
      </c>
      <c r="F54" s="97"/>
      <c r="G54" s="97"/>
      <c r="H54" s="97"/>
      <c r="I54" s="97"/>
      <c r="J54" s="97"/>
      <c r="K54" s="97"/>
      <c r="L54" s="97"/>
      <c r="M54" s="97"/>
      <c r="O54" s="57"/>
      <c r="P54" s="36"/>
      <c r="Q54" s="36"/>
    </row>
    <row r="55" spans="1:17" ht="13.8" customHeight="1" x14ac:dyDescent="0.25">
      <c r="A55" s="37"/>
      <c r="B55" s="37"/>
      <c r="C55" s="235" t="s">
        <v>52</v>
      </c>
      <c r="D55" s="235"/>
      <c r="E55" s="98" t="s">
        <v>174</v>
      </c>
      <c r="F55" s="98"/>
      <c r="G55" s="98"/>
      <c r="H55" s="98"/>
      <c r="I55" s="98"/>
      <c r="J55" s="98"/>
      <c r="K55" s="98"/>
      <c r="L55" s="98"/>
      <c r="M55" s="98"/>
      <c r="N55" s="1"/>
      <c r="O55" s="57"/>
      <c r="P55" s="36"/>
      <c r="Q55" s="36"/>
    </row>
    <row r="56" spans="1:17" ht="13.8" customHeight="1" x14ac:dyDescent="0.3">
      <c r="A56" s="37"/>
      <c r="B56" s="37"/>
      <c r="C56" s="229" t="s">
        <v>135</v>
      </c>
      <c r="D56" s="229"/>
      <c r="E56" s="98" t="s">
        <v>158</v>
      </c>
      <c r="F56" s="98"/>
      <c r="G56" s="98"/>
      <c r="H56" s="98"/>
      <c r="I56" s="98"/>
      <c r="J56" s="98"/>
      <c r="K56" s="98"/>
      <c r="L56" s="98"/>
      <c r="M56" s="98"/>
      <c r="N56" s="1"/>
      <c r="O56" s="57"/>
      <c r="P56" s="36"/>
      <c r="Q56" s="36"/>
    </row>
    <row r="57" spans="1:17" ht="13.8" customHeight="1" x14ac:dyDescent="0.3">
      <c r="A57" s="37"/>
      <c r="B57" s="37"/>
      <c r="C57" s="229" t="s">
        <v>130</v>
      </c>
      <c r="D57" s="229"/>
      <c r="E57" s="98" t="s">
        <v>111</v>
      </c>
      <c r="F57" s="98"/>
      <c r="G57" s="98"/>
      <c r="H57" s="98"/>
      <c r="I57" s="98"/>
      <c r="J57" s="98"/>
      <c r="K57" s="98"/>
      <c r="L57" s="98"/>
      <c r="M57" s="98"/>
      <c r="N57" s="1"/>
      <c r="O57" s="57"/>
      <c r="P57" s="36"/>
      <c r="Q57" s="36"/>
    </row>
    <row r="58" spans="1:17" ht="15" customHeight="1" x14ac:dyDescent="0.25">
      <c r="A58" s="37"/>
      <c r="B58" s="37"/>
      <c r="C58" s="176"/>
      <c r="D58" s="95"/>
      <c r="E58" s="95"/>
      <c r="F58" s="96"/>
      <c r="G58" s="96"/>
      <c r="H58" s="96"/>
      <c r="I58" s="96"/>
      <c r="J58" s="96"/>
      <c r="K58" s="96"/>
      <c r="L58" s="96"/>
      <c r="M58" s="96"/>
      <c r="N58" s="1"/>
      <c r="O58" s="37"/>
      <c r="P58" s="36"/>
      <c r="Q58" s="36"/>
    </row>
    <row r="59" spans="1:17" ht="17.399999999999999" customHeight="1" x14ac:dyDescent="0.25">
      <c r="A59" s="37"/>
      <c r="B59" s="37"/>
      <c r="C59" s="176" t="s">
        <v>69</v>
      </c>
      <c r="D59" s="95"/>
      <c r="E59" s="95"/>
      <c r="F59" s="96"/>
      <c r="G59" s="96"/>
      <c r="H59" s="96"/>
      <c r="I59" s="96"/>
      <c r="J59" s="96"/>
      <c r="K59" s="96"/>
      <c r="L59" s="96"/>
      <c r="M59" s="96"/>
      <c r="O59" s="37"/>
    </row>
    <row r="60" spans="1:17" s="33" customFormat="1" ht="13.8" customHeight="1" x14ac:dyDescent="0.25">
      <c r="A60" s="182"/>
      <c r="B60" s="182"/>
      <c r="C60" s="230" t="s">
        <v>98</v>
      </c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183"/>
      <c r="O60" s="182"/>
    </row>
    <row r="61" spans="1:17" s="34" customFormat="1" ht="13.8" customHeight="1" x14ac:dyDescent="0.25">
      <c r="A61" s="44"/>
      <c r="B61" s="44"/>
      <c r="C61" s="227" t="s">
        <v>96</v>
      </c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O61" s="44"/>
    </row>
    <row r="62" spans="1:17" s="34" customFormat="1" ht="13.8" customHeight="1" x14ac:dyDescent="0.25">
      <c r="A62" s="44"/>
      <c r="B62" s="44"/>
      <c r="C62" s="231" t="s">
        <v>70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183"/>
      <c r="O62" s="44"/>
    </row>
    <row r="63" spans="1:17" s="34" customFormat="1" ht="13.8" customHeight="1" x14ac:dyDescent="0.25">
      <c r="A63" s="44"/>
      <c r="B63" s="44"/>
      <c r="C63" s="230" t="s">
        <v>92</v>
      </c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175"/>
      <c r="O63" s="44"/>
    </row>
    <row r="64" spans="1:17" s="34" customFormat="1" ht="13.8" customHeight="1" x14ac:dyDescent="0.25">
      <c r="A64" s="44"/>
      <c r="B64" s="44"/>
      <c r="C64" s="227" t="s">
        <v>97</v>
      </c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175"/>
      <c r="O64" s="44"/>
    </row>
    <row r="65" spans="1:24" s="34" customFormat="1" ht="13.8" customHeight="1" x14ac:dyDescent="0.25">
      <c r="A65" s="44"/>
      <c r="B65" s="44"/>
      <c r="C65" s="227" t="s">
        <v>166</v>
      </c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175"/>
      <c r="O65" s="44"/>
    </row>
    <row r="66" spans="1:24" s="34" customFormat="1" ht="13.8" customHeight="1" x14ac:dyDescent="0.25">
      <c r="A66" s="44"/>
      <c r="B66" s="44"/>
      <c r="C66" s="227" t="s">
        <v>100</v>
      </c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175"/>
      <c r="O66" s="44"/>
    </row>
    <row r="67" spans="1:24" s="34" customFormat="1" ht="13.8" customHeight="1" x14ac:dyDescent="0.25">
      <c r="A67" s="44"/>
      <c r="B67" s="44"/>
      <c r="C67" s="227" t="s">
        <v>176</v>
      </c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175"/>
      <c r="O67" s="44"/>
    </row>
    <row r="68" spans="1:24" s="34" customFormat="1" ht="13.8" customHeight="1" x14ac:dyDescent="0.25">
      <c r="A68" s="44"/>
      <c r="B68" s="44"/>
      <c r="C68" s="227" t="s">
        <v>175</v>
      </c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175"/>
      <c r="O68" s="44"/>
    </row>
    <row r="69" spans="1:24" s="34" customFormat="1" ht="13.8" customHeight="1" x14ac:dyDescent="0.25">
      <c r="A69" s="44"/>
      <c r="B69" s="44"/>
      <c r="C69" s="227" t="s">
        <v>152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175"/>
      <c r="O69" s="44"/>
    </row>
    <row r="70" spans="1:24" s="34" customFormat="1" ht="13.8" customHeight="1" x14ac:dyDescent="0.25">
      <c r="A70" s="44"/>
      <c r="B70" s="44"/>
      <c r="C70" s="227" t="s">
        <v>153</v>
      </c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175"/>
      <c r="O70" s="44"/>
    </row>
    <row r="71" spans="1:24" s="34" customFormat="1" ht="13.8" customHeight="1" x14ac:dyDescent="0.25">
      <c r="A71" s="44"/>
      <c r="B71" s="44"/>
      <c r="C71" s="227" t="s">
        <v>142</v>
      </c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175"/>
      <c r="O71" s="44"/>
    </row>
    <row r="72" spans="1:24" ht="13.8" customHeight="1" x14ac:dyDescent="0.25"/>
    <row r="73" spans="1:24" s="35" customFormat="1" ht="26.25" customHeight="1" x14ac:dyDescent="0.25">
      <c r="A73" s="58"/>
      <c r="B73" s="58"/>
      <c r="C73" s="138" t="s">
        <v>31</v>
      </c>
      <c r="D73" s="139"/>
      <c r="E73" s="140"/>
      <c r="F73" s="140"/>
      <c r="G73" s="140"/>
      <c r="H73" s="141"/>
      <c r="I73" s="140"/>
      <c r="J73" s="140"/>
      <c r="K73" s="140"/>
      <c r="L73" s="140"/>
      <c r="M73" s="108" t="s">
        <v>171</v>
      </c>
      <c r="O73" s="58"/>
    </row>
    <row r="74" spans="1:24" s="2" customFormat="1" ht="12.6" customHeight="1" x14ac:dyDescent="0.25">
      <c r="A74" s="1"/>
      <c r="B74" s="1"/>
      <c r="C74" s="104" t="s">
        <v>134</v>
      </c>
      <c r="D74" s="139"/>
      <c r="E74" s="105"/>
      <c r="F74" s="105"/>
      <c r="G74" s="105"/>
      <c r="H74" s="141"/>
      <c r="I74" s="140"/>
      <c r="J74" s="140"/>
      <c r="K74" s="140"/>
      <c r="L74" s="140"/>
      <c r="M74" s="108" t="s">
        <v>10</v>
      </c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6" customHeight="1" x14ac:dyDescent="0.25">
      <c r="C75" s="109" t="s">
        <v>28</v>
      </c>
      <c r="D75" s="142"/>
      <c r="E75" s="105"/>
      <c r="F75" s="106"/>
      <c r="G75" s="106"/>
      <c r="H75" s="143"/>
      <c r="I75" s="106"/>
      <c r="J75" s="106"/>
      <c r="K75" s="142"/>
      <c r="L75" s="144"/>
      <c r="M75" s="108" t="s">
        <v>63</v>
      </c>
    </row>
    <row r="76" spans="1:24" s="2" customFormat="1" x14ac:dyDescent="0.25">
      <c r="A76" s="1"/>
      <c r="B76" s="1"/>
      <c r="C76" s="4"/>
      <c r="D76" s="4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</row>
  </sheetData>
  <sheetProtection algorithmName="SHA-512" hashValue="6K+GIk5ehdSNShxHMEhTfGP693pOxZRXDOw/vKzjSQ596LKxi1ZJxo8IlLliXSH0GTlLcWUtyL11x//O6A4ANQ==" saltValue="w+fvn37bsL8XeCOXR9BkbA==" spinCount="100000" sheet="1" selectLockedCells="1" selectUnlockedCells="1"/>
  <mergeCells count="28">
    <mergeCell ref="C54:D54"/>
    <mergeCell ref="C55:D55"/>
    <mergeCell ref="C57:D57"/>
    <mergeCell ref="C47:D47"/>
    <mergeCell ref="C48:D48"/>
    <mergeCell ref="C49:D49"/>
    <mergeCell ref="C50:D50"/>
    <mergeCell ref="C51:D51"/>
    <mergeCell ref="C52:D52"/>
    <mergeCell ref="C45:D45"/>
    <mergeCell ref="C40:D40"/>
    <mergeCell ref="C41:D41"/>
    <mergeCell ref="C42:D42"/>
    <mergeCell ref="C43:D43"/>
    <mergeCell ref="C44:D44"/>
    <mergeCell ref="C71:M71"/>
    <mergeCell ref="C70:M70"/>
    <mergeCell ref="C56:D56"/>
    <mergeCell ref="C64:M64"/>
    <mergeCell ref="C65:M65"/>
    <mergeCell ref="C66:M66"/>
    <mergeCell ref="C67:M67"/>
    <mergeCell ref="C60:M60"/>
    <mergeCell ref="C61:M61"/>
    <mergeCell ref="C62:M62"/>
    <mergeCell ref="C63:M63"/>
    <mergeCell ref="C69:M69"/>
    <mergeCell ref="C68:M68"/>
  </mergeCells>
  <printOptions horizontalCentered="1" verticalCentered="1"/>
  <pageMargins left="0.23622047244094491" right="0.15748031496062992" top="0.15748031496062992" bottom="0.15748031496062992" header="0.35433070866141736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FLUXPAM 5</vt:lpstr>
      <vt:lpstr>Moduly</vt:lpstr>
      <vt:lpstr>Informace</vt:lpstr>
      <vt:lpstr>'FLUXPAM 5'!Oblast_tisku</vt:lpstr>
      <vt:lpstr>Informace!Oblast_tisku</vt:lpstr>
      <vt:lpstr>Moduly!Oblast_tisku</vt:lpstr>
    </vt:vector>
  </TitlesOfParts>
  <Company>Flux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Ceník FLUX</dc:title>
  <dc:creator>Petr Kuchař</dc:creator>
  <cp:lastModifiedBy>Petr Kuchař</cp:lastModifiedBy>
  <cp:lastPrinted>2025-02-06T15:42:38Z</cp:lastPrinted>
  <dcterms:created xsi:type="dcterms:W3CDTF">2002-10-03T11:57:18Z</dcterms:created>
  <dcterms:modified xsi:type="dcterms:W3CDTF">2025-02-06T15:46:36Z</dcterms:modified>
</cp:coreProperties>
</file>